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7365" tabRatio="680" firstSheet="3" activeTab="9"/>
  </bookViews>
  <sheets>
    <sheet name="Camp. 24 Details" sheetId="2" r:id="rId1"/>
    <sheet name="Camp. 25 Details" sheetId="4" r:id="rId2"/>
    <sheet name="Camp. 2 Details" sheetId="9" r:id="rId3"/>
    <sheet name="Camp. 3 Details" sheetId="11" r:id="rId4"/>
    <sheet name="Camp. 4 Details" sheetId="12" r:id="rId5"/>
    <sheet name="Camp. 5 &amp; 6" sheetId="13" r:id="rId6"/>
    <sheet name="Camp. 7" sheetId="14" r:id="rId7"/>
    <sheet name="Camp. 8" sheetId="15" r:id="rId8"/>
    <sheet name="Camp. 10" sheetId="16" r:id="rId9"/>
    <sheet name="Sheet1" sheetId="17" r:id="rId10"/>
  </sheets>
  <definedNames>
    <definedName name="_xlnm.Print_Area" localSheetId="1">'Camp. 25 Details'!$B$108:$I$110</definedName>
  </definedNames>
  <calcPr calcId="124519"/>
</workbook>
</file>

<file path=xl/calcChain.xml><?xml version="1.0" encoding="utf-8"?>
<calcChain xmlns="http://schemas.openxmlformats.org/spreadsheetml/2006/main">
  <c r="B6" i="17"/>
  <c r="B7" s="1"/>
  <c r="L38" i="16"/>
  <c r="L21"/>
  <c r="Q27" i="15"/>
  <c r="Q24"/>
  <c r="Q23" i="14"/>
  <c r="Q25" i="13"/>
  <c r="Q70" i="12"/>
  <c r="Q65"/>
  <c r="N15" i="9"/>
  <c r="A1" i="17"/>
  <c r="K25" i="16"/>
  <c r="K26"/>
  <c r="K27"/>
  <c r="K28"/>
  <c r="K29"/>
  <c r="K24"/>
  <c r="K32"/>
  <c r="L36" s="1"/>
  <c r="K33"/>
  <c r="K34"/>
  <c r="K14"/>
  <c r="K16"/>
  <c r="K22"/>
  <c r="L31" s="1"/>
  <c r="K2"/>
  <c r="L13" s="1"/>
  <c r="K10"/>
  <c r="J10"/>
  <c r="K3"/>
  <c r="K7"/>
  <c r="K5"/>
  <c r="K4"/>
  <c r="I34"/>
  <c r="I10"/>
  <c r="I22"/>
  <c r="G25"/>
  <c r="G26"/>
  <c r="G27"/>
  <c r="G28"/>
  <c r="G24"/>
  <c r="I29" s="1"/>
  <c r="G16"/>
  <c r="I17" s="1"/>
  <c r="N23" i="15"/>
  <c r="N22"/>
  <c r="L24"/>
  <c r="N14"/>
  <c r="N5"/>
  <c r="N4"/>
  <c r="N3"/>
  <c r="N2"/>
  <c r="L17"/>
  <c r="L7"/>
  <c r="L35" s="1"/>
  <c r="N6" i="14"/>
  <c r="N14"/>
  <c r="N15"/>
  <c r="Q21" s="1"/>
  <c r="L17"/>
  <c r="K19" s="1"/>
  <c r="L7"/>
  <c r="L23" s="1"/>
  <c r="N5"/>
  <c r="N4"/>
  <c r="N3"/>
  <c r="N2"/>
  <c r="Q13" s="1"/>
  <c r="N24" i="13"/>
  <c r="N23"/>
  <c r="N22"/>
  <c r="N17"/>
  <c r="N16"/>
  <c r="N15"/>
  <c r="N14"/>
  <c r="M12"/>
  <c r="N12" s="1"/>
  <c r="N11"/>
  <c r="N9"/>
  <c r="N10"/>
  <c r="N8"/>
  <c r="N7"/>
  <c r="N5"/>
  <c r="N4"/>
  <c r="N3"/>
  <c r="N2"/>
  <c r="L24"/>
  <c r="L17"/>
  <c r="L12"/>
  <c r="L21" s="1"/>
  <c r="L31" s="1"/>
  <c r="J3"/>
  <c r="M67" i="12"/>
  <c r="N62"/>
  <c r="N26"/>
  <c r="N25"/>
  <c r="N39"/>
  <c r="N38"/>
  <c r="N31"/>
  <c r="N63"/>
  <c r="N64"/>
  <c r="N60"/>
  <c r="N59"/>
  <c r="N58"/>
  <c r="N57"/>
  <c r="N56"/>
  <c r="N55"/>
  <c r="N54"/>
  <c r="N53"/>
  <c r="N52"/>
  <c r="N49"/>
  <c r="N48"/>
  <c r="Q51" s="1"/>
  <c r="N47"/>
  <c r="N30"/>
  <c r="N33"/>
  <c r="N32"/>
  <c r="N37"/>
  <c r="N36"/>
  <c r="J34"/>
  <c r="S16"/>
  <c r="N35"/>
  <c r="N34"/>
  <c r="N28"/>
  <c r="N27"/>
  <c r="N23"/>
  <c r="N24"/>
  <c r="N22"/>
  <c r="N21"/>
  <c r="N20"/>
  <c r="N19"/>
  <c r="N18"/>
  <c r="N17"/>
  <c r="N16"/>
  <c r="N15"/>
  <c r="N14"/>
  <c r="N10"/>
  <c r="N7"/>
  <c r="N8"/>
  <c r="N5"/>
  <c r="R70"/>
  <c r="N3"/>
  <c r="N4"/>
  <c r="N2"/>
  <c r="L64"/>
  <c r="J55"/>
  <c r="J36"/>
  <c r="L5"/>
  <c r="L49"/>
  <c r="J10"/>
  <c r="L11" s="1"/>
  <c r="L8"/>
  <c r="E85"/>
  <c r="D53" i="11"/>
  <c r="K3"/>
  <c r="N5"/>
  <c r="N20"/>
  <c r="N7"/>
  <c r="N15"/>
  <c r="N3"/>
  <c r="N19"/>
  <c r="N16"/>
  <c r="N6"/>
  <c r="N17"/>
  <c r="N2"/>
  <c r="P7" s="1"/>
  <c r="K20"/>
  <c r="K7"/>
  <c r="N10" i="9"/>
  <c r="N8"/>
  <c r="I23"/>
  <c r="H22" s="1"/>
  <c r="N2"/>
  <c r="K2"/>
  <c r="G117" i="4"/>
  <c r="G119"/>
  <c r="G116" s="1"/>
  <c r="L115"/>
  <c r="K10" i="9"/>
  <c r="I8"/>
  <c r="H16" s="1"/>
  <c r="M78" i="4"/>
  <c r="M79"/>
  <c r="M80"/>
  <c r="M81"/>
  <c r="M82"/>
  <c r="M83"/>
  <c r="M84"/>
  <c r="M77"/>
  <c r="M110"/>
  <c r="M109"/>
  <c r="M111" s="1"/>
  <c r="M108"/>
  <c r="M105"/>
  <c r="N104"/>
  <c r="N103"/>
  <c r="M102"/>
  <c r="M99"/>
  <c r="M98"/>
  <c r="M97"/>
  <c r="M95"/>
  <c r="M94"/>
  <c r="M89"/>
  <c r="M90"/>
  <c r="M91"/>
  <c r="M88"/>
  <c r="N85"/>
  <c r="M74"/>
  <c r="M73"/>
  <c r="M71"/>
  <c r="M72"/>
  <c r="M70"/>
  <c r="M107" s="1"/>
  <c r="N69"/>
  <c r="N68"/>
  <c r="N107" s="1"/>
  <c r="M65"/>
  <c r="M61"/>
  <c r="M60"/>
  <c r="M59"/>
  <c r="M58"/>
  <c r="M55"/>
  <c r="M54"/>
  <c r="M53"/>
  <c r="M52"/>
  <c r="M51"/>
  <c r="M48"/>
  <c r="M47"/>
  <c r="M46"/>
  <c r="M43"/>
  <c r="M42"/>
  <c r="M41"/>
  <c r="M40"/>
  <c r="M39"/>
  <c r="M35"/>
  <c r="M67" s="1"/>
  <c r="N33"/>
  <c r="N67" s="1"/>
  <c r="M30"/>
  <c r="M27"/>
  <c r="M26"/>
  <c r="N25"/>
  <c r="N32" s="1"/>
  <c r="O32" s="1"/>
  <c r="M22"/>
  <c r="M32" s="1"/>
  <c r="M17"/>
  <c r="M16"/>
  <c r="M14"/>
  <c r="M13"/>
  <c r="M12"/>
  <c r="N11"/>
  <c r="N10"/>
  <c r="M9"/>
  <c r="N8"/>
  <c r="N20" s="1"/>
  <c r="M6"/>
  <c r="M20" s="1"/>
  <c r="M7"/>
  <c r="M3"/>
  <c r="M2"/>
  <c r="M5" s="1"/>
  <c r="O5" s="1"/>
  <c r="I15"/>
  <c r="I14"/>
  <c r="I13"/>
  <c r="K110"/>
  <c r="K111" s="1"/>
  <c r="I106"/>
  <c r="K106" s="1"/>
  <c r="I97"/>
  <c r="I94"/>
  <c r="I92"/>
  <c r="K92" s="1"/>
  <c r="I86"/>
  <c r="K86" s="1"/>
  <c r="I74"/>
  <c r="I75" s="1"/>
  <c r="K75" s="1"/>
  <c r="I66"/>
  <c r="K66" s="1"/>
  <c r="I62"/>
  <c r="K62" s="1"/>
  <c r="I56"/>
  <c r="K56" s="1"/>
  <c r="I49"/>
  <c r="K49" s="1"/>
  <c r="I44"/>
  <c r="K44" s="1"/>
  <c r="I37"/>
  <c r="K37" s="1"/>
  <c r="K33"/>
  <c r="K30"/>
  <c r="I28"/>
  <c r="K28" s="1"/>
  <c r="I23"/>
  <c r="K23" s="1"/>
  <c r="L25" i="2"/>
  <c r="I4"/>
  <c r="I17"/>
  <c r="K17" s="1"/>
  <c r="I20"/>
  <c r="A31"/>
  <c r="I3" i="4"/>
  <c r="K3" s="1"/>
  <c r="K5" s="1"/>
  <c r="P6" i="2"/>
  <c r="P4"/>
  <c r="N21"/>
  <c r="M20"/>
  <c r="M19"/>
  <c r="M16"/>
  <c r="M15"/>
  <c r="M12"/>
  <c r="M13"/>
  <c r="M14"/>
  <c r="M11"/>
  <c r="M10"/>
  <c r="N6"/>
  <c r="N25" s="1"/>
  <c r="M2"/>
  <c r="M3"/>
  <c r="K4"/>
  <c r="I22"/>
  <c r="K22" s="1"/>
  <c r="K6"/>
  <c r="O124" i="4" l="1"/>
  <c r="O126" s="1"/>
  <c r="O20"/>
  <c r="O67"/>
  <c r="O125"/>
  <c r="N115"/>
  <c r="M115"/>
  <c r="O111"/>
  <c r="O107"/>
  <c r="I48" i="16"/>
  <c r="K67" i="4"/>
  <c r="M25" i="2"/>
  <c r="L40" i="12"/>
  <c r="T11" s="1"/>
  <c r="M21" i="13"/>
  <c r="M28" s="1"/>
  <c r="I100" i="4"/>
  <c r="K100" s="1"/>
  <c r="K107" s="1"/>
  <c r="K115" s="1"/>
  <c r="P20" i="11"/>
  <c r="L25" s="1"/>
  <c r="Q46" i="12"/>
  <c r="Q61"/>
  <c r="Q13" i="15"/>
  <c r="L73" i="12"/>
  <c r="K8" i="9"/>
  <c r="K32" i="4"/>
  <c r="I18"/>
  <c r="K18" s="1"/>
  <c r="K20" s="1"/>
  <c r="K25" i="2"/>
  <c r="O115" i="4" l="1"/>
  <c r="K12" i="9"/>
  <c r="K15" s="1"/>
  <c r="K27" i="2"/>
</calcChain>
</file>

<file path=xl/sharedStrings.xml><?xml version="1.0" encoding="utf-8"?>
<sst xmlns="http://schemas.openxmlformats.org/spreadsheetml/2006/main" count="766" uniqueCount="410">
  <si>
    <t>Sales Rep</t>
  </si>
  <si>
    <t>Page #</t>
  </si>
  <si>
    <t>QTY</t>
  </si>
  <si>
    <t>Product #</t>
  </si>
  <si>
    <t>Product Description</t>
  </si>
  <si>
    <t>Shade/Fragrence</t>
  </si>
  <si>
    <t>Size/OZ.</t>
  </si>
  <si>
    <t>Price Each</t>
  </si>
  <si>
    <t xml:space="preserve">Total </t>
  </si>
  <si>
    <t>Kelly Marckres</t>
  </si>
  <si>
    <t>Lisa Lamb</t>
  </si>
  <si>
    <t>297-098</t>
  </si>
  <si>
    <t>400-295</t>
  </si>
  <si>
    <t>Jazzie Trio</t>
  </si>
  <si>
    <t>Green</t>
  </si>
  <si>
    <t>Eyeliner</t>
  </si>
  <si>
    <t>Emerald</t>
  </si>
  <si>
    <t>Order Proc. Fee</t>
  </si>
  <si>
    <t>Total Paid</t>
  </si>
  <si>
    <t>Check Number</t>
  </si>
  <si>
    <t>Kristi McKnight</t>
  </si>
  <si>
    <t>259-216</t>
  </si>
  <si>
    <t>Mickey Xmas Carol</t>
  </si>
  <si>
    <t>Customer Name</t>
  </si>
  <si>
    <t>Chelsea Hoadley</t>
  </si>
  <si>
    <t>Lisa Hoadley</t>
  </si>
  <si>
    <t>794-449</t>
  </si>
  <si>
    <t>Wish of Love Fragrance</t>
  </si>
  <si>
    <t>600-579</t>
  </si>
  <si>
    <t>Clear Earing Hoops</t>
  </si>
  <si>
    <t>600-507</t>
  </si>
  <si>
    <t>600-598</t>
  </si>
  <si>
    <t>600-564</t>
  </si>
  <si>
    <t>541-739</t>
  </si>
  <si>
    <t>541-758</t>
  </si>
  <si>
    <t>Red Earing Hoops</t>
  </si>
  <si>
    <t>Amethyst Color Hoops</t>
  </si>
  <si>
    <t>Green Earing Hoops</t>
  </si>
  <si>
    <t>January Earings</t>
  </si>
  <si>
    <t>March Earings</t>
  </si>
  <si>
    <t>Clear</t>
  </si>
  <si>
    <t>Red</t>
  </si>
  <si>
    <t>Amethyst</t>
  </si>
  <si>
    <t>Adam Dolan</t>
  </si>
  <si>
    <t>Jodi Quinn</t>
  </si>
  <si>
    <t>217-640</t>
  </si>
  <si>
    <t>440-131</t>
  </si>
  <si>
    <t>401-880</t>
  </si>
  <si>
    <t>Silver Bullet Brush</t>
  </si>
  <si>
    <t>Intensive</t>
  </si>
  <si>
    <t>Moiusture Therapy Hand Cream</t>
  </si>
  <si>
    <t>Digital Coin Counting Money Jar</t>
  </si>
  <si>
    <t>Campaign Number</t>
  </si>
  <si>
    <t>Order Product Revieved</t>
  </si>
  <si>
    <t>a</t>
  </si>
  <si>
    <t>Total Individual Profit</t>
  </si>
  <si>
    <t>Hailee May</t>
  </si>
  <si>
    <t>Toni May</t>
  </si>
  <si>
    <t>036-197</t>
  </si>
  <si>
    <t>652-066</t>
  </si>
  <si>
    <t>Avon Force Xtra</t>
  </si>
  <si>
    <t>Flower Shave Set</t>
  </si>
  <si>
    <t>Night Crème PM</t>
  </si>
  <si>
    <t>Our Cost</t>
  </si>
  <si>
    <t>Heidi Patch</t>
  </si>
  <si>
    <t>704-993</t>
  </si>
  <si>
    <t>703-667</t>
  </si>
  <si>
    <t>605-843</t>
  </si>
  <si>
    <t>064-382</t>
  </si>
  <si>
    <t>621-622</t>
  </si>
  <si>
    <t>Heavenly Angel Pin</t>
  </si>
  <si>
    <t>March</t>
  </si>
  <si>
    <t>January</t>
  </si>
  <si>
    <t>Grinch Boxer</t>
  </si>
  <si>
    <t>Waterproof Eyeliner</t>
  </si>
  <si>
    <t>Blackest Night</t>
  </si>
  <si>
    <t>Rhinestone Comfort Slide</t>
  </si>
  <si>
    <t>Black</t>
  </si>
  <si>
    <t>Brooke Hill</t>
  </si>
  <si>
    <t>Michelle Tallman</t>
  </si>
  <si>
    <t>110-450</t>
  </si>
  <si>
    <t>400-242</t>
  </si>
  <si>
    <t>Brainy Baby CD's</t>
  </si>
  <si>
    <t>Glimmersticks for eyes</t>
  </si>
  <si>
    <t>blackest black</t>
  </si>
  <si>
    <t>Debbie Tallman</t>
  </si>
  <si>
    <t>Rock a Bye Baby Blankies</t>
  </si>
  <si>
    <t>Elephant</t>
  </si>
  <si>
    <t>116-430</t>
  </si>
  <si>
    <t>027-325</t>
  </si>
  <si>
    <t>475-800</t>
  </si>
  <si>
    <t>Eye Makeup remover</t>
  </si>
  <si>
    <t>Overnight Corrective Hand Treatment</t>
  </si>
  <si>
    <t>Tammy Gray</t>
  </si>
  <si>
    <t>103-137</t>
  </si>
  <si>
    <t>Jillian Dempser Professional Mascara</t>
  </si>
  <si>
    <t>Jonathan Larose</t>
  </si>
  <si>
    <t>Shredia Larose</t>
  </si>
  <si>
    <t>045-293</t>
  </si>
  <si>
    <t>Comfort Wedge</t>
  </si>
  <si>
    <t>Jessie King</t>
  </si>
  <si>
    <t>20- Mark Book</t>
  </si>
  <si>
    <t>914-337</t>
  </si>
  <si>
    <t>Sterling Silver CZ Ring</t>
  </si>
  <si>
    <t>276-360</t>
  </si>
  <si>
    <t>Newsboy Hat</t>
  </si>
  <si>
    <t>Ila King</t>
  </si>
  <si>
    <t>Back # 24</t>
  </si>
  <si>
    <t>356-196</t>
  </si>
  <si>
    <t>356-177</t>
  </si>
  <si>
    <t>612-052</t>
  </si>
  <si>
    <t>136-692</t>
  </si>
  <si>
    <t>318-022</t>
  </si>
  <si>
    <t>Ultra Luxury Line</t>
  </si>
  <si>
    <t>Midnight Blue</t>
  </si>
  <si>
    <t>Purse Spary (Surreal)</t>
  </si>
  <si>
    <t>Purse Spary (Goddess)</t>
  </si>
  <si>
    <t>Purse Spray (Haiku)</t>
  </si>
  <si>
    <t>Fern Larose</t>
  </si>
  <si>
    <t>789-280</t>
  </si>
  <si>
    <t>544-188</t>
  </si>
  <si>
    <t>583-860</t>
  </si>
  <si>
    <t>Red Gift Set</t>
  </si>
  <si>
    <t>Blue Gift Set</t>
  </si>
  <si>
    <t>Gold Tone</t>
  </si>
  <si>
    <t>Vintage Heart Necklace</t>
  </si>
  <si>
    <t>Nina King</t>
  </si>
  <si>
    <t>316-350</t>
  </si>
  <si>
    <t>582-280</t>
  </si>
  <si>
    <t>151-384</t>
  </si>
  <si>
    <t>822-190</t>
  </si>
  <si>
    <t>040-330</t>
  </si>
  <si>
    <t>Creamy Body Wash</t>
  </si>
  <si>
    <t>Soft &amp; Sensual</t>
  </si>
  <si>
    <t>Daily Results Conditioner</t>
  </si>
  <si>
    <t>Jon Larose</t>
  </si>
  <si>
    <t>481-888</t>
  </si>
  <si>
    <t>590-050</t>
  </si>
  <si>
    <t>310-878</t>
  </si>
  <si>
    <t>037-710</t>
  </si>
  <si>
    <t>Hand Wash</t>
  </si>
  <si>
    <t>Night Bath Soak</t>
  </si>
  <si>
    <t>Intensive Lip Moisturizer</t>
  </si>
  <si>
    <t>Cleansing Pads</t>
  </si>
  <si>
    <t>(Buy one get on for $1.99)</t>
  </si>
  <si>
    <t>Check Number/ Cash</t>
  </si>
  <si>
    <t>448-697</t>
  </si>
  <si>
    <t>046-668</t>
  </si>
  <si>
    <t>Pore Cleanser</t>
  </si>
  <si>
    <t>Big Beautiful Deal</t>
  </si>
  <si>
    <t>Bobby Beauregard</t>
  </si>
  <si>
    <t>Candyce Arada Trombley</t>
  </si>
  <si>
    <t>600-803</t>
  </si>
  <si>
    <t>Mickey Sleep Tee</t>
  </si>
  <si>
    <t>M</t>
  </si>
  <si>
    <t>600-966</t>
  </si>
  <si>
    <t>Mickey Sleep Pant</t>
  </si>
  <si>
    <t>297-629</t>
  </si>
  <si>
    <t>Heavenly Soft Eyeshadow Trio</t>
  </si>
  <si>
    <t>Brown</t>
  </si>
  <si>
    <t>Blue</t>
  </si>
  <si>
    <t>297-007</t>
  </si>
  <si>
    <t>544-118</t>
  </si>
  <si>
    <t>Necklace &amp; Earing</t>
  </si>
  <si>
    <t>184-438</t>
  </si>
  <si>
    <t>Skin So Soft Bath Oil</t>
  </si>
  <si>
    <t>Grace Trombley</t>
  </si>
  <si>
    <t>356-268</t>
  </si>
  <si>
    <t>Wild Berry Lip Liner</t>
  </si>
  <si>
    <t>356-306</t>
  </si>
  <si>
    <t>Brick Lip Liner</t>
  </si>
  <si>
    <t>356-253</t>
  </si>
  <si>
    <t>Rosebud Lip Liner</t>
  </si>
  <si>
    <t>356-287</t>
  </si>
  <si>
    <t>356-200</t>
  </si>
  <si>
    <t>356-220</t>
  </si>
  <si>
    <t>626-605</t>
  </si>
  <si>
    <t>Deep Plum Lip Liner</t>
  </si>
  <si>
    <t>Black Eye liner</t>
  </si>
  <si>
    <t>Midnight blue eye liner</t>
  </si>
  <si>
    <t>Charcoal eye liner</t>
  </si>
  <si>
    <t>Eggplant eye liner</t>
  </si>
  <si>
    <t>Heated neck wrap</t>
  </si>
  <si>
    <t>Kim Williams</t>
  </si>
  <si>
    <t>075-204</t>
  </si>
  <si>
    <t>075-170</t>
  </si>
  <si>
    <t>086-303</t>
  </si>
  <si>
    <t>082-456</t>
  </si>
  <si>
    <t>High School Musical Lip Balm</t>
  </si>
  <si>
    <t>Heidi Williams</t>
  </si>
  <si>
    <t>218-631</t>
  </si>
  <si>
    <t>063-022</t>
  </si>
  <si>
    <t>655-027</t>
  </si>
  <si>
    <t>655-084</t>
  </si>
  <si>
    <t>Glimmer Stx Waterproof eyeliner</t>
  </si>
  <si>
    <t>blackest night</t>
  </si>
  <si>
    <t>Purse spray faraway</t>
  </si>
  <si>
    <t>Free Power</t>
  </si>
  <si>
    <t>Lip Balm</t>
  </si>
  <si>
    <t>Peach</t>
  </si>
  <si>
    <t>Candy Cane</t>
  </si>
  <si>
    <t>Winter Mint</t>
  </si>
  <si>
    <t>Kris Connolly</t>
  </si>
  <si>
    <t>033-255</t>
  </si>
  <si>
    <t>545-241</t>
  </si>
  <si>
    <t>633-584</t>
  </si>
  <si>
    <t>Lotion</t>
  </si>
  <si>
    <t>Rock/Candle Garden</t>
  </si>
  <si>
    <t>Heated Neck Wrap</t>
  </si>
  <si>
    <t>Naturals Banana Set</t>
  </si>
  <si>
    <t>066-332</t>
  </si>
  <si>
    <t>Faraway</t>
  </si>
  <si>
    <t>Lisa Durocher</t>
  </si>
  <si>
    <t>088-488</t>
  </si>
  <si>
    <t>084-444</t>
  </si>
  <si>
    <t>040-928</t>
  </si>
  <si>
    <t>Avon Natural Boty Lotion</t>
  </si>
  <si>
    <t>Cucumber Melon</t>
  </si>
  <si>
    <t>Apricot &amp; Sunflower</t>
  </si>
  <si>
    <t>C24</t>
  </si>
  <si>
    <t>600-970</t>
  </si>
  <si>
    <t>947-869</t>
  </si>
  <si>
    <t>596-540</t>
  </si>
  <si>
    <t>438-211</t>
  </si>
  <si>
    <t>052-928</t>
  </si>
  <si>
    <t>400-276</t>
  </si>
  <si>
    <t>394-852</t>
  </si>
  <si>
    <t>Sleep Pant</t>
  </si>
  <si>
    <t>Mix Set</t>
  </si>
  <si>
    <t>Footworks Berry Mint Set</t>
  </si>
  <si>
    <t>Grey Slippers</t>
  </si>
  <si>
    <t>Penguin Emery Board</t>
  </si>
  <si>
    <t>Smoke Eyes Quest</t>
  </si>
  <si>
    <t>Skin So Soft Deodorant</t>
  </si>
  <si>
    <t>total class profit @ 50 %:</t>
  </si>
  <si>
    <t>total class profit @ 20 %</t>
  </si>
  <si>
    <t xml:space="preserve">total price this campaign: </t>
  </si>
  <si>
    <t>Jonathon Larose</t>
  </si>
  <si>
    <t>Wanda Larose</t>
  </si>
  <si>
    <t>Flyer</t>
  </si>
  <si>
    <t>971-661</t>
  </si>
  <si>
    <t>Avon BASICS Hand Cream</t>
  </si>
  <si>
    <t>102-972</t>
  </si>
  <si>
    <t xml:space="preserve">Haiku </t>
  </si>
  <si>
    <t xml:space="preserve">Chelsea Hoadley </t>
  </si>
  <si>
    <t>897-575</t>
  </si>
  <si>
    <t>Sterling Silver Birthstone Neckelace</t>
  </si>
  <si>
    <t>As of 12/19 AVON said we owe (excl. taxes)</t>
  </si>
  <si>
    <t>This amount excl. $10 appt fee</t>
  </si>
  <si>
    <t>As of 12/19 taxes &amp; fees that need to be removed</t>
  </si>
  <si>
    <t>Need to remove appt. fee ($10.00)</t>
  </si>
  <si>
    <t>Paid $340.72 on 12/19</t>
  </si>
  <si>
    <t>.79.</t>
  </si>
  <si>
    <t>&lt;= Sample Cost</t>
  </si>
  <si>
    <t>Total We Owe-&gt; (Befor sample cost)</t>
  </si>
  <si>
    <t>Chelsea Miller</t>
  </si>
  <si>
    <t>Sherida Larose</t>
  </si>
  <si>
    <t>Ergonomic Tweezers</t>
  </si>
  <si>
    <t>Jade Ring</t>
  </si>
  <si>
    <t>Shampoo &amp; Conditioner</t>
  </si>
  <si>
    <t>Body Wash</t>
  </si>
  <si>
    <t>That’s Deep Kit</t>
  </si>
  <si>
    <t>See Things Clearley</t>
  </si>
  <si>
    <t>Pink Sand- Mini Mark-it</t>
  </si>
  <si>
    <t>Free Hook Up Connector</t>
  </si>
  <si>
    <t>Sweet Talk Lip Gloss</t>
  </si>
  <si>
    <t>891-486</t>
  </si>
  <si>
    <t>Eye Make Up</t>
  </si>
  <si>
    <t>Special Offer On-Line</t>
  </si>
  <si>
    <t>5 pc set</t>
  </si>
  <si>
    <t>Total Profit</t>
  </si>
  <si>
    <t>Total Cost to Us (excluding out Profit)</t>
  </si>
  <si>
    <t>(Check has a remainin balance of $18.58)</t>
  </si>
  <si>
    <t>According to the invoive, our cost for all items is :</t>
  </si>
  <si>
    <t>Sherdia Larose</t>
  </si>
  <si>
    <t>054347</t>
  </si>
  <si>
    <t>018840</t>
  </si>
  <si>
    <t>Rare Pearls Lotion</t>
  </si>
  <si>
    <t>Rare Pearls Shower</t>
  </si>
  <si>
    <t>Rare Pearls Spray</t>
  </si>
  <si>
    <t>Nancy Roy</t>
  </si>
  <si>
    <t>Wineberry Roseberry</t>
  </si>
  <si>
    <t xml:space="preserve">Rosewine </t>
  </si>
  <si>
    <t>Healthy Shine Shampoo &amp; Conditioner</t>
  </si>
  <si>
    <t>Eye Protector</t>
  </si>
  <si>
    <t>Necklace</t>
  </si>
  <si>
    <t>Lisa Tilton</t>
  </si>
  <si>
    <t>039856</t>
  </si>
  <si>
    <t>006468</t>
  </si>
  <si>
    <t>Cucumber Melon Body Cream</t>
  </si>
  <si>
    <t>Cucumber Melon Bubble Bath</t>
  </si>
  <si>
    <t>Wax Kit</t>
  </si>
  <si>
    <t>Popcorn Maker</t>
  </si>
  <si>
    <t>Jewlery Set</t>
  </si>
  <si>
    <t>Surreal Garden</t>
  </si>
  <si>
    <t>No Fuss Paddle Brush</t>
  </si>
  <si>
    <t>Shower Mat</t>
  </si>
  <si>
    <t>Skin so Soft hand Wash</t>
  </si>
  <si>
    <t>Rare Pearls Perfume</t>
  </si>
  <si>
    <t>Back</t>
  </si>
  <si>
    <t>Dry Ends Serum</t>
  </si>
  <si>
    <t>Fri Capsuls</t>
  </si>
  <si>
    <t>Volume Mousse</t>
  </si>
  <si>
    <t>Pumice File</t>
  </si>
  <si>
    <t>Perfumed Skin Softner</t>
  </si>
  <si>
    <t>064382</t>
  </si>
  <si>
    <t>063769</t>
  </si>
  <si>
    <t>Waterproof Eyeline</t>
  </si>
  <si>
    <t>Cracked Heel Relief Cream</t>
  </si>
  <si>
    <t>Everlasting Eye Shadow</t>
  </si>
  <si>
    <t>065450</t>
  </si>
  <si>
    <t>Eye Whiter Eye Shawod</t>
  </si>
  <si>
    <t>Everlasting Lip Stick</t>
  </si>
  <si>
    <t>Super Shock Mascara</t>
  </si>
  <si>
    <t xml:space="preserve">Black </t>
  </si>
  <si>
    <t>Ultra Luxery Liners</t>
  </si>
  <si>
    <t>Charcol</t>
  </si>
  <si>
    <t>Imari Suduction</t>
  </si>
  <si>
    <t>1.7 fl oz.</t>
  </si>
  <si>
    <t>079381</t>
  </si>
  <si>
    <t>Ideal Shock Powder</t>
  </si>
  <si>
    <t>075481</t>
  </si>
  <si>
    <t>Samp Hydra Rescue Mask</t>
  </si>
  <si>
    <t>Island Vibe</t>
  </si>
  <si>
    <t>Beauty</t>
  </si>
  <si>
    <t>Gel Eye Liner</t>
  </si>
  <si>
    <t>Waterproof Eye Liner</t>
  </si>
  <si>
    <t>Glaze Wear</t>
  </si>
  <si>
    <t>TOTAL ORDER FEE</t>
  </si>
  <si>
    <t xml:space="preserve">Bowl Set </t>
  </si>
  <si>
    <t>Celtic Necklace</t>
  </si>
  <si>
    <t>Celtic Earings</t>
  </si>
  <si>
    <t>Tinker Bell Pillow Cases</t>
  </si>
  <si>
    <t>Total Paid- $97.00 paid on 2/12/09</t>
  </si>
  <si>
    <r>
      <t xml:space="preserve"> </t>
    </r>
    <r>
      <rPr>
        <sz val="12"/>
        <color theme="1"/>
        <rFont val="Webdings"/>
        <family val="1"/>
        <charset val="2"/>
      </rPr>
      <t>a</t>
    </r>
  </si>
  <si>
    <t>Deb</t>
  </si>
  <si>
    <t>Hollywood Lights Lip Gloss</t>
  </si>
  <si>
    <t>Red Carpet</t>
  </si>
  <si>
    <t>Dreamlife Perfume Spray</t>
  </si>
  <si>
    <t>Be Blushed Cheek Color</t>
  </si>
  <si>
    <t>Blushing Nude</t>
  </si>
  <si>
    <t>Nailwear Nail Enamel</t>
  </si>
  <si>
    <t>Cotton Candy</t>
  </si>
  <si>
    <t>UV Gloss Guard Top Coat</t>
  </si>
  <si>
    <t>063735</t>
  </si>
  <si>
    <t>Copper</t>
  </si>
  <si>
    <t>GLIMMERSTICKS for brows, eyes and lips</t>
  </si>
  <si>
    <t>Starry Night</t>
  </si>
  <si>
    <t>Everlasting Powder Eyeshadow</t>
  </si>
  <si>
    <t>Mocha</t>
  </si>
  <si>
    <t>Bronze</t>
  </si>
  <si>
    <t>Glazewear Liquid Lip Color</t>
  </si>
  <si>
    <t>Berry Cool</t>
  </si>
  <si>
    <t>Tickled Pink</t>
  </si>
  <si>
    <t>Sherida LaRose</t>
  </si>
  <si>
    <t>049011</t>
  </si>
  <si>
    <t>048971</t>
  </si>
  <si>
    <t>Cluster Drop Earings</t>
  </si>
  <si>
    <t>Turquoise</t>
  </si>
  <si>
    <t>Coral</t>
  </si>
  <si>
    <t>Eye Radiance Eye Color</t>
  </si>
  <si>
    <t>Lavendar Luster</t>
  </si>
  <si>
    <t>Dew Moss</t>
  </si>
  <si>
    <t>BodyWash</t>
  </si>
  <si>
    <t>Beauty Bag</t>
  </si>
  <si>
    <t>Gift Set</t>
  </si>
  <si>
    <t>Satin Glow Airbrus Spary</t>
  </si>
  <si>
    <t>Anew SM Cream</t>
  </si>
  <si>
    <t>Callus Remover</t>
  </si>
  <si>
    <t>Warming Center</t>
  </si>
  <si>
    <t>Pomogranant Mango</t>
  </si>
  <si>
    <t>Callaunder</t>
  </si>
  <si>
    <t xml:space="preserve">   </t>
  </si>
  <si>
    <t>0046089</t>
  </si>
  <si>
    <t>Wish of Luck</t>
  </si>
  <si>
    <t>Measuring Cups</t>
  </si>
  <si>
    <t>Kelly</t>
  </si>
  <si>
    <t>Makeup Remover</t>
  </si>
  <si>
    <t>Tweezers</t>
  </si>
  <si>
    <t>073986</t>
  </si>
  <si>
    <t>089890</t>
  </si>
  <si>
    <t>037710</t>
  </si>
  <si>
    <t>Detox Set</t>
  </si>
  <si>
    <t>Angel Necklace</t>
  </si>
  <si>
    <t>Tummy Slimmer Tank</t>
  </si>
  <si>
    <t>Bath Pillow</t>
  </si>
  <si>
    <t>Soothing Eye Pads</t>
  </si>
  <si>
    <t>Chip N' dip platter</t>
  </si>
  <si>
    <t>Spa Gel Mask</t>
  </si>
  <si>
    <t>4 Bowls w/ Lids</t>
  </si>
  <si>
    <t>Head Massager</t>
  </si>
  <si>
    <t>Mindy Sweeney</t>
  </si>
  <si>
    <t>Angela Norder</t>
  </si>
  <si>
    <t>088860</t>
  </si>
  <si>
    <t>084368</t>
  </si>
  <si>
    <t>089580</t>
  </si>
  <si>
    <t>Total Radiance Thermal Cleanser</t>
  </si>
  <si>
    <t>Bubble Bath</t>
  </si>
  <si>
    <t>001633</t>
  </si>
  <si>
    <t>Condiment Set</t>
  </si>
  <si>
    <t>Foot File</t>
  </si>
  <si>
    <t>026477</t>
  </si>
  <si>
    <t>Extra Volume Mascara</t>
  </si>
  <si>
    <t>Built In Eraser Mascara</t>
  </si>
  <si>
    <t>Blackest Black Eye Liner</t>
  </si>
  <si>
    <t>Camp. #</t>
  </si>
  <si>
    <t>Lise Durocher</t>
  </si>
  <si>
    <t>Ring</t>
  </si>
  <si>
    <t>Total Profit for the Year 2008-2009</t>
  </si>
  <si>
    <t>Business Manager Earns 10% of Profits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</si>
</sst>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5"/>
      <color theme="1"/>
      <name val="Webdings"/>
      <family val="1"/>
      <charset val="2"/>
    </font>
    <font>
      <sz val="15"/>
      <color theme="1"/>
      <name val="Calibri"/>
      <family val="2"/>
      <scheme val="minor"/>
    </font>
    <font>
      <sz val="12"/>
      <name val="Webdings"/>
      <family val="1"/>
      <charset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Webdings"/>
      <family val="1"/>
      <charset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sz val="11"/>
      <color theme="0" tint="-0.249977111117893"/>
      <name val="Calibri"/>
      <family val="2"/>
      <scheme val="minor"/>
    </font>
    <font>
      <sz val="10"/>
      <color theme="0" tint="-0.249977111117893"/>
      <name val="Arial"/>
      <family val="2"/>
    </font>
    <font>
      <b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98D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2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4" fontId="3" fillId="0" borderId="2" xfId="1" applyFont="1" applyBorder="1" applyAlignment="1">
      <alignment horizontal="center" wrapText="1"/>
    </xf>
    <xf numFmtId="9" fontId="3" fillId="0" borderId="2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4" fontId="4" fillId="0" borderId="0" xfId="1" applyFont="1" applyAlignment="1">
      <alignment horizontal="center" wrapText="1"/>
    </xf>
    <xf numFmtId="0" fontId="4" fillId="0" borderId="0" xfId="0" applyFont="1" applyBorder="1"/>
    <xf numFmtId="44" fontId="4" fillId="0" borderId="0" xfId="0" applyNumberFormat="1" applyFont="1" applyBorder="1"/>
    <xf numFmtId="0" fontId="0" fillId="0" borderId="0" xfId="0" applyBorder="1"/>
    <xf numFmtId="9" fontId="3" fillId="0" borderId="1" xfId="0" applyNumberFormat="1" applyFont="1" applyFill="1" applyBorder="1" applyAlignment="1">
      <alignment horizontal="center"/>
    </xf>
    <xf numFmtId="9" fontId="3" fillId="0" borderId="1" xfId="2" applyFont="1" applyBorder="1" applyAlignment="1">
      <alignment horizontal="center"/>
    </xf>
    <xf numFmtId="0" fontId="0" fillId="0" borderId="3" xfId="0" applyBorder="1"/>
    <xf numFmtId="0" fontId="3" fillId="0" borderId="0" xfId="0" applyFont="1" applyAlignment="1">
      <alignment wrapText="1"/>
    </xf>
    <xf numFmtId="44" fontId="0" fillId="0" borderId="0" xfId="1" applyFont="1"/>
    <xf numFmtId="44" fontId="3" fillId="0" borderId="5" xfId="1" applyFont="1" applyBorder="1" applyAlignment="1">
      <alignment horizontal="center" wrapText="1"/>
    </xf>
    <xf numFmtId="44" fontId="4" fillId="0" borderId="3" xfId="1" applyFont="1" applyBorder="1" applyAlignment="1">
      <alignment horizontal="center" wrapText="1"/>
    </xf>
    <xf numFmtId="0" fontId="2" fillId="2" borderId="4" xfId="0" applyFont="1" applyFill="1" applyBorder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44" fontId="4" fillId="0" borderId="0" xfId="1" applyFont="1" applyBorder="1" applyAlignment="1">
      <alignment horizontal="center" wrapText="1"/>
    </xf>
    <xf numFmtId="44" fontId="0" fillId="0" borderId="3" xfId="0" applyNumberFormat="1" applyBorder="1"/>
    <xf numFmtId="0" fontId="2" fillId="0" borderId="0" xfId="0" applyFont="1" applyAlignment="1">
      <alignment horizontal="center"/>
    </xf>
    <xf numFmtId="0" fontId="2" fillId="3" borderId="0" xfId="0" applyFont="1" applyFill="1"/>
    <xf numFmtId="0" fontId="0" fillId="3" borderId="0" xfId="0" applyFill="1"/>
    <xf numFmtId="0" fontId="5" fillId="0" borderId="0" xfId="0" applyFont="1" applyAlignment="1">
      <alignment horizontal="center"/>
    </xf>
    <xf numFmtId="0" fontId="6" fillId="0" borderId="0" xfId="0" applyFont="1"/>
    <xf numFmtId="44" fontId="4" fillId="0" borderId="0" xfId="1" applyFont="1"/>
    <xf numFmtId="44" fontId="4" fillId="0" borderId="0" xfId="1" applyFont="1" applyBorder="1"/>
    <xf numFmtId="44" fontId="0" fillId="0" borderId="0" xfId="0" applyNumberFormat="1"/>
    <xf numFmtId="44" fontId="0" fillId="0" borderId="0" xfId="1" applyFont="1" applyBorder="1"/>
    <xf numFmtId="44" fontId="0" fillId="0" borderId="0" xfId="0" applyNumberFormat="1" applyBorder="1"/>
    <xf numFmtId="0" fontId="3" fillId="0" borderId="0" xfId="0" applyFont="1" applyAlignment="1">
      <alignment horizontal="center" wrapText="1"/>
    </xf>
    <xf numFmtId="0" fontId="0" fillId="4" borderId="1" xfId="0" applyFill="1" applyBorder="1"/>
    <xf numFmtId="0" fontId="2" fillId="4" borderId="1" xfId="0" applyFont="1" applyFill="1" applyBorder="1"/>
    <xf numFmtId="0" fontId="0" fillId="4" borderId="4" xfId="0" applyFill="1" applyBorder="1"/>
    <xf numFmtId="44" fontId="2" fillId="4" borderId="1" xfId="1" applyFont="1" applyFill="1" applyBorder="1"/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44" fontId="4" fillId="4" borderId="1" xfId="1" applyFont="1" applyFill="1" applyBorder="1" applyAlignment="1">
      <alignment horizontal="center" wrapText="1"/>
    </xf>
    <xf numFmtId="44" fontId="4" fillId="4" borderId="4" xfId="1" applyFont="1" applyFill="1" applyBorder="1" applyAlignment="1">
      <alignment horizontal="center" wrapText="1"/>
    </xf>
    <xf numFmtId="0" fontId="4" fillId="4" borderId="1" xfId="0" applyFont="1" applyFill="1" applyBorder="1"/>
    <xf numFmtId="0" fontId="3" fillId="4" borderId="1" xfId="0" applyFont="1" applyFill="1" applyBorder="1" applyAlignment="1">
      <alignment horizontal="center" wrapText="1"/>
    </xf>
    <xf numFmtId="44" fontId="3" fillId="4" borderId="1" xfId="1" applyFont="1" applyFill="1" applyBorder="1"/>
    <xf numFmtId="44" fontId="4" fillId="0" borderId="0" xfId="1" applyFont="1" applyFill="1" applyAlignment="1">
      <alignment horizontal="center" wrapText="1"/>
    </xf>
    <xf numFmtId="44" fontId="0" fillId="0" borderId="3" xfId="1" applyFont="1" applyBorder="1"/>
    <xf numFmtId="44" fontId="4" fillId="0" borderId="0" xfId="1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44" fontId="0" fillId="4" borderId="1" xfId="1" applyFont="1" applyFill="1" applyBorder="1"/>
    <xf numFmtId="44" fontId="0" fillId="4" borderId="4" xfId="0" applyNumberFormat="1" applyFill="1" applyBorder="1"/>
    <xf numFmtId="44" fontId="0" fillId="4" borderId="4" xfId="1" applyFont="1" applyFill="1" applyBorder="1"/>
    <xf numFmtId="0" fontId="3" fillId="6" borderId="2" xfId="0" applyFont="1" applyFill="1" applyBorder="1" applyAlignment="1">
      <alignment horizontal="center" wrapText="1"/>
    </xf>
    <xf numFmtId="44" fontId="3" fillId="6" borderId="2" xfId="1" applyFont="1" applyFill="1" applyBorder="1" applyAlignment="1">
      <alignment horizontal="center" wrapText="1"/>
    </xf>
    <xf numFmtId="44" fontId="3" fillId="6" borderId="5" xfId="1" applyFont="1" applyFill="1" applyBorder="1" applyAlignment="1">
      <alignment horizontal="center" wrapText="1"/>
    </xf>
    <xf numFmtId="0" fontId="3" fillId="6" borderId="6" xfId="0" applyFont="1" applyFill="1" applyBorder="1" applyAlignment="1">
      <alignment horizontal="center" wrapText="1"/>
    </xf>
    <xf numFmtId="9" fontId="3" fillId="6" borderId="2" xfId="2" applyFont="1" applyFill="1" applyBorder="1" applyAlignment="1">
      <alignment horizontal="center"/>
    </xf>
    <xf numFmtId="44" fontId="2" fillId="6" borderId="5" xfId="1" applyFont="1" applyFill="1" applyBorder="1"/>
    <xf numFmtId="0" fontId="2" fillId="6" borderId="5" xfId="0" applyFont="1" applyFill="1" applyBorder="1"/>
    <xf numFmtId="0" fontId="2" fillId="6" borderId="2" xfId="0" applyFont="1" applyFill="1" applyBorder="1"/>
    <xf numFmtId="0" fontId="0" fillId="6" borderId="2" xfId="0" applyFill="1" applyBorder="1"/>
    <xf numFmtId="0" fontId="0" fillId="6" borderId="5" xfId="0" applyFill="1" applyBorder="1"/>
    <xf numFmtId="0" fontId="4" fillId="7" borderId="0" xfId="0" applyFont="1" applyFill="1" applyAlignment="1">
      <alignment wrapText="1"/>
    </xf>
    <xf numFmtId="0" fontId="4" fillId="7" borderId="0" xfId="0" applyFont="1" applyFill="1" applyAlignment="1">
      <alignment horizontal="center" wrapText="1"/>
    </xf>
    <xf numFmtId="44" fontId="4" fillId="7" borderId="0" xfId="1" applyFont="1" applyFill="1" applyAlignment="1">
      <alignment horizontal="center" wrapText="1"/>
    </xf>
    <xf numFmtId="44" fontId="4" fillId="7" borderId="3" xfId="1" applyFont="1" applyFill="1" applyBorder="1" applyAlignment="1">
      <alignment horizontal="center" wrapText="1"/>
    </xf>
    <xf numFmtId="44" fontId="4" fillId="7" borderId="0" xfId="1" applyFont="1" applyFill="1"/>
    <xf numFmtId="0" fontId="4" fillId="7" borderId="0" xfId="0" applyFont="1" applyFill="1" applyBorder="1"/>
    <xf numFmtId="44" fontId="0" fillId="7" borderId="0" xfId="1" applyFont="1" applyFill="1"/>
    <xf numFmtId="0" fontId="0" fillId="7" borderId="3" xfId="0" applyFill="1" applyBorder="1"/>
    <xf numFmtId="0" fontId="5" fillId="7" borderId="0" xfId="0" applyFont="1" applyFill="1" applyAlignment="1">
      <alignment horizontal="center"/>
    </xf>
    <xf numFmtId="0" fontId="0" fillId="7" borderId="0" xfId="0" applyFill="1"/>
    <xf numFmtId="44" fontId="4" fillId="7" borderId="0" xfId="1" applyFont="1" applyFill="1" applyBorder="1" applyAlignment="1">
      <alignment horizontal="center" wrapText="1"/>
    </xf>
    <xf numFmtId="44" fontId="3" fillId="6" borderId="2" xfId="1" applyFont="1" applyFill="1" applyBorder="1" applyAlignment="1">
      <alignment horizontal="center"/>
    </xf>
    <xf numFmtId="44" fontId="4" fillId="4" borderId="1" xfId="1" applyFont="1" applyFill="1" applyBorder="1"/>
    <xf numFmtId="44" fontId="4" fillId="7" borderId="0" xfId="1" applyFont="1" applyFill="1" applyBorder="1"/>
    <xf numFmtId="44" fontId="0" fillId="8" borderId="0" xfId="1" applyFont="1" applyFill="1"/>
    <xf numFmtId="44" fontId="0" fillId="8" borderId="1" xfId="0" applyNumberFormat="1" applyFill="1" applyBorder="1"/>
    <xf numFmtId="44" fontId="0" fillId="8" borderId="3" xfId="0" applyNumberFormat="1" applyFill="1" applyBorder="1"/>
    <xf numFmtId="44" fontId="2" fillId="4" borderId="1" xfId="0" applyNumberFormat="1" applyFont="1" applyFill="1" applyBorder="1"/>
    <xf numFmtId="44" fontId="1" fillId="4" borderId="1" xfId="1" applyFont="1" applyFill="1" applyBorder="1"/>
    <xf numFmtId="44" fontId="3" fillId="4" borderId="1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44" fontId="0" fillId="0" borderId="3" xfId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44" fontId="4" fillId="0" borderId="10" xfId="1" applyFont="1" applyFill="1" applyBorder="1" applyAlignment="1">
      <alignment horizontal="center" wrapText="1"/>
    </xf>
    <xf numFmtId="44" fontId="4" fillId="0" borderId="10" xfId="1" applyFont="1" applyBorder="1" applyAlignment="1">
      <alignment horizontal="center" wrapText="1"/>
    </xf>
    <xf numFmtId="44" fontId="4" fillId="0" borderId="9" xfId="1" applyFont="1" applyBorder="1" applyAlignment="1">
      <alignment horizontal="center" wrapText="1"/>
    </xf>
    <xf numFmtId="44" fontId="4" fillId="0" borderId="10" xfId="1" applyFont="1" applyBorder="1"/>
    <xf numFmtId="0" fontId="0" fillId="0" borderId="10" xfId="0" applyBorder="1"/>
    <xf numFmtId="0" fontId="0" fillId="0" borderId="9" xfId="0" applyBorder="1"/>
    <xf numFmtId="0" fontId="5" fillId="0" borderId="10" xfId="0" applyFont="1" applyBorder="1" applyAlignment="1">
      <alignment horizontal="center"/>
    </xf>
    <xf numFmtId="44" fontId="0" fillId="9" borderId="0" xfId="1" applyFont="1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10" borderId="0" xfId="0" applyFill="1" applyAlignment="1">
      <alignment horizontal="center"/>
    </xf>
    <xf numFmtId="0" fontId="0" fillId="0" borderId="0" xfId="1" applyNumberFormat="1" applyFont="1" applyAlignment="1">
      <alignment horizontal="center"/>
    </xf>
    <xf numFmtId="44" fontId="0" fillId="2" borderId="0" xfId="1" applyFont="1" applyFill="1" applyAlignment="1">
      <alignment horizontal="center"/>
    </xf>
    <xf numFmtId="44" fontId="2" fillId="2" borderId="4" xfId="1" applyFont="1" applyFill="1" applyBorder="1"/>
    <xf numFmtId="44" fontId="0" fillId="0" borderId="10" xfId="1" applyFont="1" applyBorder="1"/>
    <xf numFmtId="9" fontId="3" fillId="0" borderId="2" xfId="1" applyNumberFormat="1" applyFont="1" applyFill="1" applyBorder="1" applyAlignment="1">
      <alignment horizontal="center"/>
    </xf>
    <xf numFmtId="9" fontId="3" fillId="0" borderId="1" xfId="1" applyNumberFormat="1" applyFont="1" applyFill="1" applyBorder="1" applyAlignment="1">
      <alignment horizontal="center"/>
    </xf>
    <xf numFmtId="9" fontId="3" fillId="0" borderId="1" xfId="1" applyNumberFormat="1" applyFont="1" applyBorder="1" applyAlignment="1">
      <alignment horizontal="center"/>
    </xf>
    <xf numFmtId="44" fontId="0" fillId="0" borderId="0" xfId="1" applyFont="1" applyFill="1" applyAlignment="1">
      <alignment horizontal="center"/>
    </xf>
    <xf numFmtId="44" fontId="0" fillId="0" borderId="3" xfId="1" applyFont="1" applyFill="1" applyBorder="1" applyAlignment="1">
      <alignment horizontal="center"/>
    </xf>
    <xf numFmtId="44" fontId="0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44" fontId="0" fillId="0" borderId="7" xfId="1" applyFont="1" applyBorder="1" applyAlignment="1"/>
    <xf numFmtId="44" fontId="0" fillId="0" borderId="0" xfId="1" applyFont="1" applyBorder="1" applyAlignment="1"/>
    <xf numFmtId="44" fontId="0" fillId="0" borderId="19" xfId="1" applyFont="1" applyBorder="1" applyAlignment="1"/>
    <xf numFmtId="44" fontId="0" fillId="0" borderId="1" xfId="1" applyFont="1" applyBorder="1" applyAlignment="1"/>
    <xf numFmtId="44" fontId="0" fillId="2" borderId="7" xfId="1" applyFont="1" applyFill="1" applyBorder="1" applyAlignment="1"/>
    <xf numFmtId="44" fontId="0" fillId="2" borderId="0" xfId="1" applyFont="1" applyFill="1" applyBorder="1" applyAlignment="1"/>
    <xf numFmtId="44" fontId="0" fillId="2" borderId="0" xfId="1" applyFont="1" applyFill="1"/>
    <xf numFmtId="44" fontId="0" fillId="0" borderId="4" xfId="1" applyFont="1" applyBorder="1" applyAlignment="1"/>
    <xf numFmtId="9" fontId="3" fillId="11" borderId="20" xfId="1" applyNumberFormat="1" applyFont="1" applyFill="1" applyBorder="1" applyAlignment="1">
      <alignment horizontal="center"/>
    </xf>
    <xf numFmtId="44" fontId="0" fillId="11" borderId="20" xfId="1" applyFont="1" applyFill="1" applyBorder="1"/>
    <xf numFmtId="44" fontId="0" fillId="11" borderId="20" xfId="1" applyFont="1" applyFill="1" applyBorder="1" applyAlignment="1"/>
    <xf numFmtId="44" fontId="4" fillId="11" borderId="20" xfId="1" applyFont="1" applyFill="1" applyBorder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44" fontId="0" fillId="0" borderId="3" xfId="1" applyFont="1" applyBorder="1" applyAlignment="1"/>
    <xf numFmtId="44" fontId="0" fillId="0" borderId="10" xfId="1" applyFont="1" applyBorder="1" applyAlignment="1"/>
    <xf numFmtId="44" fontId="0" fillId="11" borderId="21" xfId="1" applyFont="1" applyFill="1" applyBorder="1"/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4" fontId="0" fillId="0" borderId="10" xfId="1" applyFont="1" applyBorder="1" applyAlignment="1">
      <alignment horizontal="center"/>
    </xf>
    <xf numFmtId="44" fontId="0" fillId="0" borderId="9" xfId="1" applyFont="1" applyBorder="1" applyAlignment="1">
      <alignment horizontal="center"/>
    </xf>
    <xf numFmtId="44" fontId="0" fillId="0" borderId="0" xfId="1" applyFont="1" applyFill="1" applyAlignment="1"/>
    <xf numFmtId="44" fontId="0" fillId="0" borderId="3" xfId="1" applyFont="1" applyFill="1" applyBorder="1" applyAlignment="1"/>
    <xf numFmtId="44" fontId="0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44" fontId="0" fillId="4" borderId="0" xfId="1" applyFont="1" applyFill="1" applyAlignment="1">
      <alignment horizontal="center"/>
    </xf>
    <xf numFmtId="44" fontId="0" fillId="4" borderId="3" xfId="1" applyFont="1" applyFill="1" applyBorder="1" applyAlignment="1">
      <alignment horizontal="center"/>
    </xf>
    <xf numFmtId="44" fontId="0" fillId="4" borderId="0" xfId="1" applyFont="1" applyFill="1" applyBorder="1" applyAlignment="1"/>
    <xf numFmtId="44" fontId="0" fillId="4" borderId="20" xfId="1" applyFont="1" applyFill="1" applyBorder="1" applyAlignment="1"/>
    <xf numFmtId="44" fontId="0" fillId="4" borderId="3" xfId="1" applyFont="1" applyFill="1" applyBorder="1" applyAlignment="1"/>
    <xf numFmtId="0" fontId="0" fillId="4" borderId="0" xfId="0" applyFill="1"/>
    <xf numFmtId="44" fontId="0" fillId="4" borderId="0" xfId="1" applyFont="1" applyFill="1"/>
    <xf numFmtId="44" fontId="0" fillId="4" borderId="20" xfId="1" applyFont="1" applyFill="1" applyBorder="1"/>
    <xf numFmtId="0" fontId="0" fillId="4" borderId="3" xfId="0" applyFill="1" applyBorder="1"/>
    <xf numFmtId="44" fontId="2" fillId="0" borderId="3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4" fontId="0" fillId="5" borderId="0" xfId="1" applyFont="1" applyFill="1"/>
    <xf numFmtId="44" fontId="0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4" fontId="0" fillId="0" borderId="7" xfId="1" applyFont="1" applyFill="1" applyBorder="1" applyAlignment="1"/>
    <xf numFmtId="44" fontId="0" fillId="0" borderId="0" xfId="1" applyFont="1" applyFill="1" applyBorder="1" applyAlignment="1"/>
    <xf numFmtId="44" fontId="0" fillId="0" borderId="0" xfId="1" applyFont="1" applyFill="1"/>
    <xf numFmtId="0" fontId="0" fillId="0" borderId="0" xfId="0" applyFill="1"/>
    <xf numFmtId="0" fontId="7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44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44" fontId="0" fillId="13" borderId="0" xfId="1" applyFont="1" applyFill="1"/>
    <xf numFmtId="44" fontId="0" fillId="13" borderId="0" xfId="1" applyFont="1" applyFill="1" applyBorder="1" applyAlignment="1"/>
    <xf numFmtId="44" fontId="0" fillId="0" borderId="20" xfId="1" applyFont="1" applyFill="1" applyBorder="1" applyAlignment="1"/>
    <xf numFmtId="44" fontId="0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3" xfId="0" applyFill="1" applyBorder="1"/>
    <xf numFmtId="0" fontId="9" fillId="0" borderId="10" xfId="0" applyFont="1" applyFill="1" applyBorder="1" applyAlignment="1">
      <alignment horizontal="center"/>
    </xf>
    <xf numFmtId="0" fontId="0" fillId="0" borderId="0" xfId="0" quotePrefix="1" applyNumberFormat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44" fontId="0" fillId="0" borderId="0" xfId="0" applyNumberFormat="1" applyFill="1"/>
    <xf numFmtId="44" fontId="0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4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/>
    <xf numFmtId="0" fontId="13" fillId="0" borderId="0" xfId="0" applyFont="1" applyFill="1" applyBorder="1" applyAlignment="1">
      <alignment horizontal="center" wrapText="1"/>
    </xf>
    <xf numFmtId="44" fontId="0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3" xfId="1" applyNumberFormat="1" applyFont="1" applyBorder="1" applyAlignment="1"/>
    <xf numFmtId="44" fontId="0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4" fontId="14" fillId="11" borderId="20" xfId="1" applyFont="1" applyFill="1" applyBorder="1"/>
    <xf numFmtId="44" fontId="14" fillId="11" borderId="5" xfId="1" applyFont="1" applyFill="1" applyBorder="1" applyAlignment="1"/>
    <xf numFmtId="44" fontId="14" fillId="11" borderId="20" xfId="1" applyFont="1" applyFill="1" applyBorder="1" applyAlignment="1"/>
    <xf numFmtId="44" fontId="14" fillId="0" borderId="20" xfId="1" applyFont="1" applyFill="1" applyBorder="1" applyAlignment="1"/>
    <xf numFmtId="44" fontId="15" fillId="11" borderId="20" xfId="1" applyFont="1" applyFill="1" applyBorder="1"/>
    <xf numFmtId="44" fontId="14" fillId="11" borderId="21" xfId="1" applyFont="1" applyFill="1" applyBorder="1"/>
    <xf numFmtId="9" fontId="16" fillId="11" borderId="20" xfId="1" applyNumberFormat="1" applyFont="1" applyFill="1" applyBorder="1" applyAlignment="1">
      <alignment horizontal="center"/>
    </xf>
    <xf numFmtId="0" fontId="2" fillId="0" borderId="0" xfId="0" applyFont="1" applyFill="1"/>
    <xf numFmtId="0" fontId="0" fillId="2" borderId="0" xfId="0" applyFill="1" applyAlignment="1">
      <alignment horizontal="center"/>
    </xf>
    <xf numFmtId="44" fontId="0" fillId="2" borderId="0" xfId="0" applyNumberFormat="1" applyFill="1"/>
    <xf numFmtId="44" fontId="0" fillId="2" borderId="0" xfId="1" applyFont="1" applyFill="1" applyBorder="1"/>
    <xf numFmtId="44" fontId="0" fillId="2" borderId="8" xfId="0" applyNumberFormat="1" applyFill="1" applyBorder="1"/>
    <xf numFmtId="44" fontId="0" fillId="2" borderId="20" xfId="1" applyFont="1" applyFill="1" applyBorder="1"/>
    <xf numFmtId="44" fontId="0" fillId="2" borderId="20" xfId="1" applyFont="1" applyFill="1" applyBorder="1" applyAlignment="1"/>
    <xf numFmtId="44" fontId="14" fillId="2" borderId="20" xfId="1" applyFont="1" applyFill="1" applyBorder="1" applyAlignment="1"/>
    <xf numFmtId="0" fontId="0" fillId="2" borderId="0" xfId="0" applyFill="1"/>
    <xf numFmtId="44" fontId="0" fillId="8" borderId="7" xfId="1" applyFont="1" applyFill="1" applyBorder="1" applyAlignment="1">
      <alignment horizontal="center"/>
    </xf>
    <xf numFmtId="44" fontId="0" fillId="8" borderId="0" xfId="1" applyFont="1" applyFill="1" applyBorder="1" applyAlignment="1">
      <alignment horizontal="center"/>
    </xf>
    <xf numFmtId="44" fontId="0" fillId="8" borderId="0" xfId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44" fontId="0" fillId="2" borderId="0" xfId="1" applyFont="1" applyFill="1" applyAlignment="1">
      <alignment horizontal="center"/>
    </xf>
    <xf numFmtId="44" fontId="0" fillId="5" borderId="0" xfId="1" applyFont="1" applyFill="1" applyAlignment="1">
      <alignment horizontal="center"/>
    </xf>
    <xf numFmtId="44" fontId="0" fillId="5" borderId="3" xfId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12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A98DE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opLeftCell="G1" workbookViewId="0">
      <pane ySplit="1" topLeftCell="A13" activePane="bottomLeft" state="frozen"/>
      <selection pane="bottomLeft" activeCell="M25" sqref="M25:N25"/>
    </sheetView>
  </sheetViews>
  <sheetFormatPr defaultRowHeight="15"/>
  <cols>
    <col min="1" max="1" width="22.140625" customWidth="1"/>
    <col min="2" max="2" width="17" customWidth="1"/>
    <col min="5" max="5" width="15.28515625" customWidth="1"/>
    <col min="6" max="6" width="28.140625" customWidth="1"/>
    <col min="7" max="7" width="18" customWidth="1"/>
    <col min="9" max="9" width="9.28515625" customWidth="1"/>
    <col min="10" max="10" width="16.85546875" customWidth="1"/>
    <col min="11" max="11" width="9.42578125" style="14" customWidth="1"/>
    <col min="12" max="12" width="11.28515625" style="11" customWidth="1"/>
    <col min="14" max="15" width="9.140625" style="11"/>
    <col min="16" max="16" width="9.7109375" bestFit="1" customWidth="1"/>
    <col min="17" max="17" width="14.140625" bestFit="1" customWidth="1"/>
    <col min="18" max="18" width="10.85546875" customWidth="1"/>
  </cols>
  <sheetData>
    <row r="1" spans="1:20" ht="26.25">
      <c r="A1" s="2" t="s">
        <v>0</v>
      </c>
      <c r="B1" s="2" t="s">
        <v>23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4" t="s">
        <v>7</v>
      </c>
      <c r="J1" s="4" t="s">
        <v>17</v>
      </c>
      <c r="K1" s="17" t="s">
        <v>8</v>
      </c>
      <c r="L1" s="4" t="s">
        <v>63</v>
      </c>
      <c r="M1" s="5">
        <v>0.5</v>
      </c>
      <c r="N1" s="12">
        <v>0.2</v>
      </c>
      <c r="O1" s="13">
        <v>0.25</v>
      </c>
      <c r="P1" s="19" t="s">
        <v>18</v>
      </c>
      <c r="Q1" s="19" t="s">
        <v>19</v>
      </c>
      <c r="R1" s="25" t="s">
        <v>53</v>
      </c>
      <c r="S1" s="26"/>
      <c r="T1" s="26"/>
    </row>
    <row r="2" spans="1:20" ht="25.5" customHeight="1">
      <c r="A2" s="15" t="s">
        <v>9</v>
      </c>
      <c r="B2" s="6" t="s">
        <v>10</v>
      </c>
      <c r="C2" s="7">
        <v>24</v>
      </c>
      <c r="D2" s="7">
        <v>1</v>
      </c>
      <c r="E2" s="7" t="s">
        <v>11</v>
      </c>
      <c r="F2" s="7" t="s">
        <v>13</v>
      </c>
      <c r="G2" s="7" t="s">
        <v>14</v>
      </c>
      <c r="H2" s="7"/>
      <c r="I2" s="47">
        <v>3.99</v>
      </c>
      <c r="K2" s="18"/>
      <c r="L2" s="22">
        <v>1.99</v>
      </c>
      <c r="M2" s="29">
        <f>3.99-1.99</f>
        <v>2</v>
      </c>
      <c r="N2" s="9"/>
      <c r="O2" s="9"/>
      <c r="Q2" s="14"/>
      <c r="R2" s="27" t="s">
        <v>54</v>
      </c>
    </row>
    <row r="3" spans="1:20" ht="19.5">
      <c r="A3" s="6"/>
      <c r="B3" s="6"/>
      <c r="C3" s="7">
        <v>25</v>
      </c>
      <c r="D3" s="7">
        <v>1</v>
      </c>
      <c r="E3" s="7" t="s">
        <v>12</v>
      </c>
      <c r="F3" s="7" t="s">
        <v>15</v>
      </c>
      <c r="G3" s="7" t="s">
        <v>16</v>
      </c>
      <c r="H3" s="7"/>
      <c r="I3" s="47">
        <v>2.79</v>
      </c>
      <c r="J3" s="8"/>
      <c r="K3" s="18"/>
      <c r="L3" s="22">
        <v>1.39</v>
      </c>
      <c r="M3" s="29">
        <f>2.79-1.39</f>
        <v>1.4000000000000001</v>
      </c>
      <c r="N3" s="9"/>
      <c r="O3" s="9"/>
      <c r="Q3" s="14"/>
      <c r="R3" s="27" t="s">
        <v>54</v>
      </c>
    </row>
    <row r="4" spans="1:20" ht="19.5">
      <c r="A4" s="15"/>
      <c r="B4" s="6"/>
      <c r="C4" s="7"/>
      <c r="D4" s="7"/>
      <c r="E4" s="7"/>
      <c r="F4" s="7"/>
      <c r="G4" s="7"/>
      <c r="H4" s="7"/>
      <c r="I4" s="8">
        <f>+I2+I3</f>
        <v>6.78</v>
      </c>
      <c r="J4" s="8">
        <v>0.75</v>
      </c>
      <c r="K4" s="18">
        <f>I4+J4</f>
        <v>7.53</v>
      </c>
      <c r="L4" s="22"/>
      <c r="M4" s="29"/>
      <c r="N4" s="9"/>
      <c r="O4" s="9"/>
      <c r="P4" s="16">
        <f>6.78+0.75</f>
        <v>7.53</v>
      </c>
      <c r="Q4" s="14">
        <v>169</v>
      </c>
      <c r="R4" s="28"/>
    </row>
    <row r="5" spans="1:20" ht="19.5">
      <c r="A5" s="6"/>
      <c r="B5" s="6"/>
      <c r="C5" s="7"/>
      <c r="D5" s="7"/>
      <c r="E5" s="7"/>
      <c r="F5" s="7"/>
      <c r="G5" s="7"/>
      <c r="H5" s="7"/>
      <c r="I5" s="8"/>
      <c r="J5" s="8"/>
      <c r="K5" s="18"/>
      <c r="L5" s="22"/>
      <c r="M5" s="29"/>
      <c r="N5" s="9"/>
      <c r="O5" s="9"/>
      <c r="Q5" s="14"/>
      <c r="R5" s="28"/>
    </row>
    <row r="6" spans="1:20" ht="19.5">
      <c r="A6" s="6"/>
      <c r="B6" s="6" t="s">
        <v>20</v>
      </c>
      <c r="C6" s="7">
        <v>150</v>
      </c>
      <c r="D6" s="7">
        <v>1</v>
      </c>
      <c r="E6" s="7" t="s">
        <v>21</v>
      </c>
      <c r="F6" s="7" t="s">
        <v>22</v>
      </c>
      <c r="G6" s="7"/>
      <c r="H6" s="7"/>
      <c r="I6" s="47">
        <v>24.99</v>
      </c>
      <c r="J6" s="8">
        <v>0.75</v>
      </c>
      <c r="K6" s="18">
        <f>I6+J6</f>
        <v>25.74</v>
      </c>
      <c r="L6" s="22">
        <v>19.989999999999998</v>
      </c>
      <c r="N6" s="29">
        <f>24.99-19.99</f>
        <v>5</v>
      </c>
      <c r="O6" s="9"/>
      <c r="P6" s="16">
        <f>24.99+0.75</f>
        <v>25.74</v>
      </c>
      <c r="Q6" s="14">
        <v>105</v>
      </c>
      <c r="R6" s="27" t="s">
        <v>54</v>
      </c>
    </row>
    <row r="7" spans="1:20">
      <c r="A7" s="6"/>
      <c r="B7" s="6"/>
      <c r="C7" s="7"/>
      <c r="D7" s="7"/>
      <c r="E7" s="7"/>
      <c r="F7" s="7"/>
      <c r="G7" s="7"/>
      <c r="H7" s="7"/>
      <c r="I7" s="8"/>
      <c r="J7" s="8"/>
      <c r="K7" s="18"/>
      <c r="L7" s="22"/>
      <c r="M7" s="29"/>
      <c r="N7" s="9"/>
      <c r="O7" s="9"/>
      <c r="Q7" s="14"/>
    </row>
    <row r="8" spans="1:20">
      <c r="A8" s="6"/>
      <c r="B8" s="6"/>
      <c r="C8" s="7"/>
      <c r="D8" s="7"/>
      <c r="E8" s="7"/>
      <c r="F8" s="34"/>
      <c r="G8" s="7"/>
      <c r="H8" s="7"/>
      <c r="I8" s="8"/>
      <c r="J8" s="8"/>
      <c r="K8" s="18"/>
      <c r="L8" s="22"/>
      <c r="M8" s="29"/>
      <c r="N8" s="9"/>
      <c r="O8" s="9"/>
      <c r="Q8" s="14"/>
    </row>
    <row r="9" spans="1:20" s="35" customFormat="1">
      <c r="A9" s="45" t="s">
        <v>55</v>
      </c>
      <c r="B9" s="39"/>
      <c r="C9" s="40"/>
      <c r="D9" s="40"/>
      <c r="E9" s="40"/>
      <c r="F9" s="45"/>
      <c r="G9" s="40"/>
      <c r="H9" s="40"/>
      <c r="I9" s="42"/>
      <c r="J9" s="42"/>
      <c r="K9" s="43"/>
      <c r="L9" s="42"/>
      <c r="M9" s="46"/>
      <c r="N9" s="44"/>
      <c r="O9" s="44"/>
      <c r="Q9" s="37"/>
    </row>
    <row r="10" spans="1:20" ht="19.5">
      <c r="A10" s="15" t="s">
        <v>24</v>
      </c>
      <c r="B10" s="6" t="s">
        <v>25</v>
      </c>
      <c r="C10" s="7">
        <v>66</v>
      </c>
      <c r="D10" s="7">
        <v>2</v>
      </c>
      <c r="E10" s="7" t="s">
        <v>26</v>
      </c>
      <c r="F10" s="7" t="s">
        <v>27</v>
      </c>
      <c r="G10" s="7"/>
      <c r="H10" s="7">
        <v>1.7</v>
      </c>
      <c r="I10" s="47">
        <v>14.99</v>
      </c>
      <c r="J10" s="8"/>
      <c r="K10" s="18"/>
      <c r="L10" s="22">
        <v>7.49</v>
      </c>
      <c r="M10" s="29">
        <f>14.99-7.49</f>
        <v>7.5</v>
      </c>
      <c r="N10" s="9"/>
      <c r="O10" s="9"/>
      <c r="Q10" s="14"/>
      <c r="R10" s="27" t="s">
        <v>54</v>
      </c>
    </row>
    <row r="11" spans="1:20" ht="19.5">
      <c r="A11" s="6"/>
      <c r="B11" s="6"/>
      <c r="C11" s="7">
        <v>104</v>
      </c>
      <c r="D11" s="7">
        <v>1</v>
      </c>
      <c r="E11" s="7" t="s">
        <v>28</v>
      </c>
      <c r="F11" s="6" t="s">
        <v>29</v>
      </c>
      <c r="G11" s="7" t="s">
        <v>40</v>
      </c>
      <c r="H11" s="7"/>
      <c r="I11" s="47">
        <v>5</v>
      </c>
      <c r="J11" s="8"/>
      <c r="K11" s="18"/>
      <c r="L11" s="22">
        <v>2.5</v>
      </c>
      <c r="M11" s="29">
        <f>5-2.5</f>
        <v>2.5</v>
      </c>
      <c r="N11" s="9"/>
      <c r="O11" s="9"/>
      <c r="Q11" s="14"/>
      <c r="R11" s="27" t="s">
        <v>54</v>
      </c>
    </row>
    <row r="12" spans="1:20" ht="19.5">
      <c r="A12" s="6"/>
      <c r="B12" s="6"/>
      <c r="C12" s="7">
        <v>104</v>
      </c>
      <c r="D12" s="7">
        <v>1</v>
      </c>
      <c r="E12" s="7" t="s">
        <v>30</v>
      </c>
      <c r="F12" s="6" t="s">
        <v>35</v>
      </c>
      <c r="G12" s="7" t="s">
        <v>41</v>
      </c>
      <c r="H12" s="7"/>
      <c r="I12" s="47">
        <v>5</v>
      </c>
      <c r="J12" s="8"/>
      <c r="K12" s="18"/>
      <c r="L12" s="22">
        <v>2.5</v>
      </c>
      <c r="M12" s="29">
        <f t="shared" ref="M12:M14" si="0">5-2.5</f>
        <v>2.5</v>
      </c>
      <c r="N12" s="9"/>
      <c r="O12" s="9"/>
      <c r="Q12" s="14"/>
      <c r="R12" s="27" t="s">
        <v>54</v>
      </c>
    </row>
    <row r="13" spans="1:20" ht="19.5">
      <c r="A13" s="6"/>
      <c r="B13" s="6"/>
      <c r="C13" s="7">
        <v>104</v>
      </c>
      <c r="D13" s="7">
        <v>1</v>
      </c>
      <c r="E13" s="7" t="s">
        <v>31</v>
      </c>
      <c r="F13" s="6" t="s">
        <v>36</v>
      </c>
      <c r="G13" s="7" t="s">
        <v>42</v>
      </c>
      <c r="H13" s="7"/>
      <c r="I13" s="47">
        <v>5</v>
      </c>
      <c r="J13" s="8"/>
      <c r="K13" s="18"/>
      <c r="L13" s="22">
        <v>2.5</v>
      </c>
      <c r="M13" s="29">
        <f t="shared" si="0"/>
        <v>2.5</v>
      </c>
      <c r="N13" s="9"/>
      <c r="O13" s="9"/>
      <c r="Q13" s="14"/>
      <c r="R13" s="27" t="s">
        <v>54</v>
      </c>
    </row>
    <row r="14" spans="1:20" ht="19.5">
      <c r="A14" s="6"/>
      <c r="B14" s="6"/>
      <c r="C14" s="7">
        <v>104</v>
      </c>
      <c r="D14" s="7">
        <v>1</v>
      </c>
      <c r="E14" s="7" t="s">
        <v>32</v>
      </c>
      <c r="F14" s="6" t="s">
        <v>37</v>
      </c>
      <c r="G14" s="7" t="s">
        <v>14</v>
      </c>
      <c r="H14" s="7"/>
      <c r="I14" s="47">
        <v>5</v>
      </c>
      <c r="J14" s="8"/>
      <c r="K14" s="18"/>
      <c r="L14" s="22">
        <v>2.5</v>
      </c>
      <c r="M14" s="29">
        <f t="shared" si="0"/>
        <v>2.5</v>
      </c>
      <c r="N14" s="10"/>
      <c r="O14" s="9"/>
      <c r="Q14" s="14"/>
      <c r="R14" s="27" t="s">
        <v>54</v>
      </c>
    </row>
    <row r="15" spans="1:20" ht="19.5">
      <c r="A15" s="6"/>
      <c r="B15" s="6"/>
      <c r="C15" s="7">
        <v>119</v>
      </c>
      <c r="D15" s="7">
        <v>1</v>
      </c>
      <c r="E15" s="7" t="s">
        <v>33</v>
      </c>
      <c r="F15" s="6" t="s">
        <v>38</v>
      </c>
      <c r="G15" s="7"/>
      <c r="H15" s="7"/>
      <c r="I15" s="47">
        <v>9.99</v>
      </c>
      <c r="J15" s="8"/>
      <c r="K15" s="18"/>
      <c r="L15" s="22">
        <v>4.99</v>
      </c>
      <c r="M15" s="29">
        <f>9.99-4.99</f>
        <v>5</v>
      </c>
      <c r="N15" s="10"/>
      <c r="O15" s="9"/>
      <c r="Q15" s="14"/>
      <c r="R15" s="27" t="s">
        <v>54</v>
      </c>
    </row>
    <row r="16" spans="1:20" ht="19.5">
      <c r="A16" s="6"/>
      <c r="B16" s="6"/>
      <c r="C16" s="7">
        <v>119</v>
      </c>
      <c r="D16" s="7">
        <v>1</v>
      </c>
      <c r="E16" s="7" t="s">
        <v>34</v>
      </c>
      <c r="F16" s="6" t="s">
        <v>39</v>
      </c>
      <c r="G16" s="7"/>
      <c r="H16" s="7"/>
      <c r="I16" s="47">
        <v>9.99</v>
      </c>
      <c r="L16" s="49">
        <v>4.99</v>
      </c>
      <c r="M16" s="29">
        <f>9.99-4.99</f>
        <v>5</v>
      </c>
      <c r="N16" s="9"/>
      <c r="O16" s="9"/>
      <c r="P16" s="16">
        <v>55.72</v>
      </c>
      <c r="Q16" s="14">
        <v>5383</v>
      </c>
      <c r="R16" s="27" t="s">
        <v>54</v>
      </c>
    </row>
    <row r="17" spans="1:18">
      <c r="A17" s="15"/>
      <c r="B17" s="6"/>
      <c r="C17" s="7"/>
      <c r="D17" s="7"/>
      <c r="E17" s="7"/>
      <c r="F17" s="6"/>
      <c r="G17" s="7"/>
      <c r="H17" s="7"/>
      <c r="I17" s="8">
        <f>SUM(I10:I16)</f>
        <v>54.970000000000006</v>
      </c>
      <c r="J17" s="8">
        <v>0.75</v>
      </c>
      <c r="K17" s="18">
        <f>I17+J17</f>
        <v>55.720000000000006</v>
      </c>
      <c r="L17" s="22"/>
      <c r="M17" s="29"/>
      <c r="N17" s="10"/>
      <c r="O17" s="9"/>
      <c r="Q17" s="14"/>
    </row>
    <row r="18" spans="1:18" s="35" customFormat="1">
      <c r="A18" s="41" t="s">
        <v>55</v>
      </c>
      <c r="B18" s="39"/>
      <c r="C18" s="40"/>
      <c r="D18" s="40"/>
      <c r="E18" s="40"/>
      <c r="F18" s="41"/>
      <c r="G18" s="40"/>
      <c r="H18" s="40"/>
      <c r="I18" s="42"/>
      <c r="J18" s="42"/>
      <c r="K18" s="43"/>
      <c r="L18" s="42"/>
      <c r="M18" s="46"/>
      <c r="N18" s="44"/>
      <c r="O18" s="44"/>
      <c r="Q18" s="37"/>
    </row>
    <row r="19" spans="1:18" ht="19.5">
      <c r="A19" s="15" t="s">
        <v>43</v>
      </c>
      <c r="B19" s="6" t="s">
        <v>44</v>
      </c>
      <c r="C19" s="7">
        <v>42</v>
      </c>
      <c r="D19" s="7">
        <v>1</v>
      </c>
      <c r="E19" s="7" t="s">
        <v>45</v>
      </c>
      <c r="F19" s="6" t="s">
        <v>48</v>
      </c>
      <c r="G19" s="7"/>
      <c r="H19" s="7"/>
      <c r="I19" s="47">
        <v>4.99</v>
      </c>
      <c r="J19" s="8"/>
      <c r="K19" s="18"/>
      <c r="L19" s="22">
        <v>2.4900000000000002</v>
      </c>
      <c r="M19" s="29">
        <f>4.99-2.49</f>
        <v>2.5</v>
      </c>
      <c r="N19" s="9"/>
      <c r="O19" s="9"/>
      <c r="Q19" s="14"/>
      <c r="R19" s="27" t="s">
        <v>54</v>
      </c>
    </row>
    <row r="20" spans="1:18" ht="16.5" customHeight="1">
      <c r="A20" s="6"/>
      <c r="B20" s="6"/>
      <c r="C20" s="7">
        <v>190</v>
      </c>
      <c r="D20" s="7">
        <v>2</v>
      </c>
      <c r="E20" s="7" t="s">
        <v>46</v>
      </c>
      <c r="F20" s="6" t="s">
        <v>50</v>
      </c>
      <c r="G20" s="7" t="s">
        <v>49</v>
      </c>
      <c r="H20" s="7"/>
      <c r="I20" s="47">
        <f>2.5*D20</f>
        <v>5</v>
      </c>
      <c r="J20" s="8"/>
      <c r="K20" s="18"/>
      <c r="L20" s="22">
        <v>2.5</v>
      </c>
      <c r="M20" s="29">
        <f>5-2.5</f>
        <v>2.5</v>
      </c>
      <c r="N20" s="9"/>
      <c r="O20" s="9"/>
      <c r="Q20" s="14"/>
      <c r="R20" s="27" t="s">
        <v>54</v>
      </c>
    </row>
    <row r="21" spans="1:18" ht="19.5">
      <c r="A21" s="6"/>
      <c r="B21" s="6"/>
      <c r="C21" s="7">
        <v>9</v>
      </c>
      <c r="D21" s="7">
        <v>1</v>
      </c>
      <c r="E21" s="7" t="s">
        <v>47</v>
      </c>
      <c r="F21" s="6" t="s">
        <v>51</v>
      </c>
      <c r="G21" s="7"/>
      <c r="H21" s="7"/>
      <c r="I21" s="47">
        <v>16.989999999999998</v>
      </c>
      <c r="L21" s="49">
        <v>13.59</v>
      </c>
      <c r="N21" s="29">
        <f>16.99-13.59</f>
        <v>3.3999999999999986</v>
      </c>
      <c r="O21" s="9"/>
      <c r="P21" s="16">
        <v>27.73</v>
      </c>
      <c r="Q21" s="14">
        <v>8834</v>
      </c>
      <c r="R21" s="27" t="s">
        <v>54</v>
      </c>
    </row>
    <row r="22" spans="1:18">
      <c r="A22" s="15"/>
      <c r="B22" s="6"/>
      <c r="C22" s="7"/>
      <c r="D22" s="7"/>
      <c r="E22" s="7"/>
      <c r="F22" s="6"/>
      <c r="G22" s="7"/>
      <c r="H22" s="7"/>
      <c r="I22" s="8">
        <f>SUM(I19:I21)</f>
        <v>26.979999999999997</v>
      </c>
      <c r="J22" s="8">
        <v>0.75</v>
      </c>
      <c r="K22" s="18">
        <f>I22+J22</f>
        <v>27.729999999999997</v>
      </c>
      <c r="L22" s="22"/>
      <c r="M22" s="29"/>
      <c r="N22" s="9"/>
      <c r="O22" s="9"/>
      <c r="Q22" s="14"/>
    </row>
    <row r="23" spans="1:18" s="11" customFormat="1">
      <c r="A23" s="20"/>
      <c r="B23" s="20"/>
      <c r="C23" s="21"/>
      <c r="D23" s="21"/>
      <c r="E23" s="21"/>
      <c r="F23" s="20"/>
      <c r="G23" s="21"/>
      <c r="H23" s="21"/>
      <c r="I23" s="22"/>
      <c r="J23" s="22"/>
      <c r="K23" s="18"/>
      <c r="L23" s="22"/>
      <c r="M23" s="30"/>
      <c r="N23" s="9"/>
      <c r="O23" s="9"/>
      <c r="Q23" s="14"/>
    </row>
    <row r="24" spans="1:18" s="35" customFormat="1">
      <c r="A24" s="36" t="s">
        <v>55</v>
      </c>
      <c r="F24" s="36"/>
      <c r="K24" s="37"/>
      <c r="M24" s="38"/>
      <c r="Q24" s="37"/>
    </row>
    <row r="25" spans="1:18">
      <c r="J25" s="31"/>
      <c r="K25" s="23">
        <f>SUM(K4:K22)</f>
        <v>116.72</v>
      </c>
      <c r="L25" s="31">
        <f>SUM(L2:L23)</f>
        <v>69.42</v>
      </c>
      <c r="M25" s="214">
        <f>SUM(M2:M23)</f>
        <v>35.9</v>
      </c>
      <c r="N25" s="215">
        <f>SUM(N2:N23)</f>
        <v>8.3999999999999986</v>
      </c>
    </row>
    <row r="26" spans="1:18">
      <c r="J26" s="31"/>
      <c r="K26" s="48">
        <v>10.9</v>
      </c>
      <c r="L26" s="32"/>
      <c r="M26" s="31"/>
    </row>
    <row r="27" spans="1:18">
      <c r="K27" s="23">
        <f>K26+K25</f>
        <v>127.62</v>
      </c>
      <c r="L27" s="32"/>
    </row>
    <row r="31" spans="1:18">
      <c r="A31">
        <f>4.99+3.99+2.79+5+9.99+9.99+5+5+5+5+14.99+24.99+16.99+10.9</f>
        <v>124.61999999999999</v>
      </c>
    </row>
    <row r="40" spans="11:14">
      <c r="K40" s="23"/>
      <c r="L40" s="33"/>
      <c r="M40" s="31"/>
      <c r="N40" s="32"/>
    </row>
    <row r="41" spans="11:14">
      <c r="N41" s="33"/>
    </row>
    <row r="43" spans="11:14">
      <c r="M43" s="31"/>
    </row>
    <row r="46" spans="11:14">
      <c r="M46" s="31"/>
    </row>
    <row r="47" spans="11:14">
      <c r="M47" s="31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>
      <selection activeCell="C9" sqref="C9"/>
    </sheetView>
  </sheetViews>
  <sheetFormatPr defaultRowHeight="15"/>
  <sheetData>
    <row r="1" spans="1:5">
      <c r="A1">
        <f>127.62+350.72+122.66+89.39+363.53+94.59+51.95+66.03+116.86</f>
        <v>1383.35</v>
      </c>
    </row>
    <row r="5" spans="1:5">
      <c r="B5" s="220" t="s">
        <v>408</v>
      </c>
      <c r="C5" s="220"/>
      <c r="D5" s="220"/>
      <c r="E5" s="220"/>
    </row>
    <row r="6" spans="1:5">
      <c r="B6" s="214">
        <f>+'Camp. 24 Details'!M25+'Camp. 24 Details'!N25+'Camp. 25 Details'!O126+'Camp. 2 Details'!N15+'Camp. 3 Details'!P20+'Camp. 3 Details'!P7+'Camp. 4 Details'!Q70+'Camp. 5 &amp; 6'!Q25+'Camp. 7'!Q23+'Camp. 8'!Q27+'Camp. 10'!L38</f>
        <v>494.88999999999993</v>
      </c>
      <c r="C6" s="220"/>
      <c r="D6" s="220"/>
      <c r="E6" s="220"/>
    </row>
    <row r="7" spans="1:5">
      <c r="B7" s="16">
        <f>+B6*0.1</f>
        <v>49.488999999999997</v>
      </c>
      <c r="C7" t="s">
        <v>409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7"/>
  <sheetViews>
    <sheetView topLeftCell="G1" workbookViewId="0">
      <pane ySplit="1" topLeftCell="A113" activePane="bottomLeft" state="frozen"/>
      <selection pane="bottomLeft" activeCell="O126" sqref="O126"/>
    </sheetView>
  </sheetViews>
  <sheetFormatPr defaultRowHeight="15"/>
  <cols>
    <col min="1" max="1" width="24.5703125" customWidth="1"/>
    <col min="2" max="2" width="23.140625" customWidth="1"/>
    <col min="3" max="3" width="15" style="1" customWidth="1"/>
    <col min="4" max="4" width="10.5703125" style="1" customWidth="1"/>
    <col min="5" max="5" width="12" style="1" customWidth="1"/>
    <col min="6" max="6" width="33" style="1" customWidth="1"/>
    <col min="7" max="7" width="24.28515625" style="1" customWidth="1"/>
    <col min="8" max="8" width="9.140625" style="1"/>
    <col min="9" max="9" width="14.42578125" style="16" customWidth="1"/>
    <col min="10" max="10" width="14.7109375" style="16" customWidth="1"/>
    <col min="11" max="11" width="11" style="14" customWidth="1"/>
    <col min="12" max="12" width="11" style="32" customWidth="1"/>
    <col min="13" max="14" width="9.140625" style="16"/>
    <col min="15" max="15" width="9.85546875" customWidth="1"/>
    <col min="16" max="16" width="12.42578125" style="16" customWidth="1"/>
    <col min="17" max="17" width="21.5703125" style="14" customWidth="1"/>
    <col min="20" max="20" width="9.140625" style="14"/>
  </cols>
  <sheetData>
    <row r="1" spans="1:20" s="62" customFormat="1" ht="26.25">
      <c r="A1" s="57" t="s">
        <v>0</v>
      </c>
      <c r="B1" s="54" t="s">
        <v>23</v>
      </c>
      <c r="C1" s="54" t="s">
        <v>1</v>
      </c>
      <c r="D1" s="54" t="s">
        <v>2</v>
      </c>
      <c r="E1" s="54" t="s">
        <v>3</v>
      </c>
      <c r="F1" s="54" t="s">
        <v>4</v>
      </c>
      <c r="G1" s="54" t="s">
        <v>5</v>
      </c>
      <c r="H1" s="54" t="s">
        <v>6</v>
      </c>
      <c r="I1" s="55" t="s">
        <v>7</v>
      </c>
      <c r="J1" s="55" t="s">
        <v>17</v>
      </c>
      <c r="K1" s="56" t="s">
        <v>8</v>
      </c>
      <c r="L1" s="55" t="s">
        <v>63</v>
      </c>
      <c r="M1" s="75">
        <v>0.5</v>
      </c>
      <c r="N1" s="75">
        <v>0.2</v>
      </c>
      <c r="O1" s="58">
        <v>0.25</v>
      </c>
      <c r="P1" s="59" t="s">
        <v>18</v>
      </c>
      <c r="Q1" s="60" t="s">
        <v>145</v>
      </c>
      <c r="R1" s="61" t="s">
        <v>53</v>
      </c>
      <c r="T1" s="63"/>
    </row>
    <row r="2" spans="1:20" ht="19.5">
      <c r="A2" s="15" t="s">
        <v>56</v>
      </c>
      <c r="B2" s="6" t="s">
        <v>57</v>
      </c>
      <c r="C2" s="7">
        <v>62</v>
      </c>
      <c r="D2" s="7">
        <v>1</v>
      </c>
      <c r="E2" s="7" t="s">
        <v>58</v>
      </c>
      <c r="F2" s="7" t="s">
        <v>60</v>
      </c>
      <c r="G2" s="7" t="s">
        <v>62</v>
      </c>
      <c r="H2" s="7"/>
      <c r="I2" s="8">
        <v>16.989999999999998</v>
      </c>
      <c r="K2" s="18"/>
      <c r="L2" s="22">
        <v>8.49</v>
      </c>
      <c r="M2" s="29">
        <f>16.99-8.49</f>
        <v>8.4999999999999982</v>
      </c>
      <c r="N2" s="30"/>
      <c r="O2" s="9"/>
      <c r="R2" s="27" t="s">
        <v>54</v>
      </c>
    </row>
    <row r="3" spans="1:20" ht="19.5">
      <c r="A3" s="6"/>
      <c r="B3" s="6"/>
      <c r="C3" s="7">
        <v>200</v>
      </c>
      <c r="D3" s="7">
        <v>2</v>
      </c>
      <c r="E3" s="7" t="s">
        <v>59</v>
      </c>
      <c r="F3" s="7" t="s">
        <v>61</v>
      </c>
      <c r="G3" s="7"/>
      <c r="H3" s="7"/>
      <c r="I3" s="8">
        <f>2.49*2</f>
        <v>4.9800000000000004</v>
      </c>
      <c r="J3" s="8">
        <v>0.75</v>
      </c>
      <c r="K3" s="18">
        <f>I3+J3+I2</f>
        <v>22.72</v>
      </c>
      <c r="L3" s="22">
        <v>2.4900000000000002</v>
      </c>
      <c r="M3" s="29">
        <f>4.98-2.49</f>
        <v>2.4900000000000002</v>
      </c>
      <c r="N3" s="30"/>
      <c r="O3" s="9"/>
      <c r="P3" s="16">
        <v>22.72</v>
      </c>
      <c r="Q3" s="14">
        <v>3767</v>
      </c>
      <c r="R3" s="27" t="s">
        <v>54</v>
      </c>
    </row>
    <row r="4" spans="1:20">
      <c r="A4" s="6"/>
      <c r="B4" s="6"/>
      <c r="C4" s="7"/>
      <c r="D4" s="7"/>
      <c r="E4" s="7"/>
      <c r="F4" s="34"/>
      <c r="G4" s="7"/>
      <c r="H4" s="7"/>
      <c r="I4" s="8"/>
      <c r="J4" s="8"/>
      <c r="K4" s="18"/>
      <c r="L4" s="22"/>
      <c r="M4" s="29"/>
      <c r="N4" s="30"/>
      <c r="O4" s="9"/>
    </row>
    <row r="5" spans="1:20" ht="15" customHeight="1">
      <c r="A5" s="45" t="s">
        <v>55</v>
      </c>
      <c r="B5" s="39"/>
      <c r="C5" s="40"/>
      <c r="D5" s="40"/>
      <c r="E5" s="40"/>
      <c r="F5" s="50"/>
      <c r="G5" s="40"/>
      <c r="H5" s="40"/>
      <c r="I5" s="42"/>
      <c r="J5" s="42"/>
      <c r="K5" s="43">
        <f>+SUM(K1:K4)</f>
        <v>22.72</v>
      </c>
      <c r="L5" s="42"/>
      <c r="M5" s="76">
        <f>SUM(M2:M4)</f>
        <v>10.989999999999998</v>
      </c>
      <c r="N5" s="76"/>
      <c r="O5" s="83">
        <f>M5+N5</f>
        <v>10.989999999999998</v>
      </c>
      <c r="P5" s="51"/>
      <c r="Q5" s="37"/>
      <c r="R5" s="35"/>
      <c r="S5" s="35"/>
      <c r="T5" s="37"/>
    </row>
    <row r="6" spans="1:20" ht="19.5">
      <c r="A6" s="15" t="s">
        <v>64</v>
      </c>
      <c r="B6" s="6" t="s">
        <v>64</v>
      </c>
      <c r="C6" s="7">
        <v>7</v>
      </c>
      <c r="D6" s="7">
        <v>1</v>
      </c>
      <c r="E6" s="7" t="s">
        <v>65</v>
      </c>
      <c r="F6" s="7" t="s">
        <v>70</v>
      </c>
      <c r="G6" s="7" t="s">
        <v>71</v>
      </c>
      <c r="H6" s="7"/>
      <c r="I6" s="8">
        <v>4.99</v>
      </c>
      <c r="J6" s="8"/>
      <c r="K6" s="18"/>
      <c r="L6" s="22">
        <v>2.4900000000000002</v>
      </c>
      <c r="M6" s="29">
        <f>4.99-2.49</f>
        <v>2.5</v>
      </c>
      <c r="N6" s="30"/>
      <c r="O6" s="9"/>
      <c r="R6" s="27" t="s">
        <v>54</v>
      </c>
    </row>
    <row r="7" spans="1:20" ht="19.5">
      <c r="A7" s="6"/>
      <c r="B7" s="6"/>
      <c r="C7" s="1">
        <v>7</v>
      </c>
      <c r="D7" s="7">
        <v>1</v>
      </c>
      <c r="E7" s="7" t="s">
        <v>66</v>
      </c>
      <c r="F7" s="7" t="s">
        <v>70</v>
      </c>
      <c r="G7" s="7" t="s">
        <v>72</v>
      </c>
      <c r="H7" s="7"/>
      <c r="I7" s="8">
        <v>4.99</v>
      </c>
      <c r="J7" s="8"/>
      <c r="K7" s="18"/>
      <c r="L7" s="22">
        <v>2.4900000000000002</v>
      </c>
      <c r="M7" s="29">
        <f>4.99-2.49</f>
        <v>2.5</v>
      </c>
      <c r="N7" s="30"/>
      <c r="O7" s="9"/>
      <c r="R7" s="27" t="s">
        <v>54</v>
      </c>
    </row>
    <row r="8" spans="1:20" ht="19.5">
      <c r="A8" s="6"/>
      <c r="B8" s="6"/>
      <c r="C8" s="7">
        <v>19</v>
      </c>
      <c r="D8" s="7">
        <v>1</v>
      </c>
      <c r="E8" s="7" t="s">
        <v>67</v>
      </c>
      <c r="F8" s="7" t="s">
        <v>73</v>
      </c>
      <c r="G8" s="7"/>
      <c r="H8" s="7"/>
      <c r="I8" s="8">
        <v>12.99</v>
      </c>
      <c r="J8" s="8"/>
      <c r="K8" s="18"/>
      <c r="L8" s="22">
        <v>10.39</v>
      </c>
      <c r="M8" s="29"/>
      <c r="N8" s="30">
        <f>12.99-10.39</f>
        <v>2.5999999999999996</v>
      </c>
      <c r="O8" s="9"/>
      <c r="R8" s="27" t="s">
        <v>54</v>
      </c>
    </row>
    <row r="9" spans="1:20" ht="19.5">
      <c r="A9" s="6"/>
      <c r="B9" s="6"/>
      <c r="C9" s="7">
        <v>45</v>
      </c>
      <c r="D9" s="7">
        <v>1</v>
      </c>
      <c r="E9" s="7" t="s">
        <v>68</v>
      </c>
      <c r="F9" s="7" t="s">
        <v>74</v>
      </c>
      <c r="G9" s="7" t="s">
        <v>75</v>
      </c>
      <c r="H9" s="7"/>
      <c r="I9" s="8">
        <v>3.49</v>
      </c>
      <c r="J9" s="8"/>
      <c r="K9" s="18"/>
      <c r="L9" s="22">
        <v>5.23</v>
      </c>
      <c r="M9" s="29">
        <f>10.47-5.23</f>
        <v>5.24</v>
      </c>
      <c r="N9" s="30"/>
      <c r="O9" s="9"/>
      <c r="R9" s="27" t="s">
        <v>54</v>
      </c>
    </row>
    <row r="10" spans="1:20" ht="19.5">
      <c r="A10" s="6"/>
      <c r="B10" s="6"/>
      <c r="C10" s="7">
        <v>124</v>
      </c>
      <c r="D10" s="7">
        <v>1</v>
      </c>
      <c r="E10" s="7" t="s">
        <v>69</v>
      </c>
      <c r="F10" s="7" t="s">
        <v>76</v>
      </c>
      <c r="G10" s="7" t="s">
        <v>77</v>
      </c>
      <c r="H10" s="7"/>
      <c r="I10" s="8">
        <v>19.989999999999998</v>
      </c>
      <c r="J10" s="8"/>
      <c r="K10" s="18"/>
      <c r="L10" s="22">
        <v>15.99</v>
      </c>
      <c r="M10" s="29"/>
      <c r="N10" s="30">
        <f>19.99-15.99</f>
        <v>3.9999999999999982</v>
      </c>
      <c r="O10" s="9"/>
      <c r="R10" s="27" t="s">
        <v>54</v>
      </c>
    </row>
    <row r="11" spans="1:20" ht="19.5">
      <c r="A11" s="6"/>
      <c r="B11" s="6" t="s">
        <v>219</v>
      </c>
      <c r="C11" s="7">
        <v>11</v>
      </c>
      <c r="D11" s="7">
        <v>1</v>
      </c>
      <c r="E11" s="7" t="s">
        <v>220</v>
      </c>
      <c r="F11" s="7" t="s">
        <v>227</v>
      </c>
      <c r="G11" s="7"/>
      <c r="H11" s="7"/>
      <c r="I11" s="8">
        <v>19.989999999999998</v>
      </c>
      <c r="J11" s="8"/>
      <c r="K11" s="18"/>
      <c r="L11" s="22">
        <v>15.99</v>
      </c>
      <c r="M11" s="29"/>
      <c r="N11" s="30">
        <f>19.99-15.99</f>
        <v>3.9999999999999982</v>
      </c>
      <c r="O11" s="9"/>
      <c r="R11" s="27" t="s">
        <v>54</v>
      </c>
    </row>
    <row r="12" spans="1:20" ht="19.5">
      <c r="A12" s="6"/>
      <c r="B12" s="6"/>
      <c r="C12" s="7">
        <v>203</v>
      </c>
      <c r="D12" s="7">
        <v>1</v>
      </c>
      <c r="E12" s="7" t="s">
        <v>221</v>
      </c>
      <c r="F12" s="7" t="s">
        <v>228</v>
      </c>
      <c r="G12" s="7"/>
      <c r="H12" s="7"/>
      <c r="I12" s="8">
        <v>10</v>
      </c>
      <c r="J12" s="8"/>
      <c r="K12" s="18"/>
      <c r="L12" s="22">
        <v>5</v>
      </c>
      <c r="M12" s="29">
        <f>10-5</f>
        <v>5</v>
      </c>
      <c r="N12" s="30"/>
      <c r="O12" s="9"/>
      <c r="R12" s="27" t="s">
        <v>54</v>
      </c>
    </row>
    <row r="13" spans="1:20" ht="19.5">
      <c r="A13" s="6"/>
      <c r="B13" s="6"/>
      <c r="C13" s="7">
        <v>185</v>
      </c>
      <c r="D13" s="7">
        <v>2</v>
      </c>
      <c r="E13" s="7" t="s">
        <v>222</v>
      </c>
      <c r="F13" s="7" t="s">
        <v>229</v>
      </c>
      <c r="G13" s="7"/>
      <c r="H13" s="7"/>
      <c r="I13" s="8">
        <f>9.99*2</f>
        <v>19.98</v>
      </c>
      <c r="J13" s="8"/>
      <c r="K13" s="18"/>
      <c r="L13" s="22">
        <v>15.98</v>
      </c>
      <c r="M13" s="29">
        <f>19.98-15.98</f>
        <v>4</v>
      </c>
      <c r="N13" s="30"/>
      <c r="O13" s="9"/>
      <c r="R13" s="27" t="s">
        <v>54</v>
      </c>
    </row>
    <row r="14" spans="1:20" ht="19.5">
      <c r="A14" s="6"/>
      <c r="B14" s="6"/>
      <c r="C14" s="7">
        <v>15</v>
      </c>
      <c r="D14" s="7">
        <v>2</v>
      </c>
      <c r="E14" s="7" t="s">
        <v>223</v>
      </c>
      <c r="F14" s="7" t="s">
        <v>230</v>
      </c>
      <c r="G14" s="7"/>
      <c r="H14" s="7"/>
      <c r="I14" s="8">
        <f>14.99*2</f>
        <v>29.98</v>
      </c>
      <c r="J14" s="8"/>
      <c r="K14" s="18"/>
      <c r="L14" s="22">
        <v>16</v>
      </c>
      <c r="M14" s="29">
        <f>20-16</f>
        <v>4</v>
      </c>
      <c r="N14" s="30"/>
      <c r="O14" s="9"/>
      <c r="R14" s="27" t="s">
        <v>54</v>
      </c>
    </row>
    <row r="15" spans="1:20" s="73" customFormat="1" ht="19.5">
      <c r="A15" s="64"/>
      <c r="B15" s="64"/>
      <c r="C15" s="65">
        <v>12</v>
      </c>
      <c r="D15" s="65">
        <v>5</v>
      </c>
      <c r="E15" s="65" t="s">
        <v>224</v>
      </c>
      <c r="F15" s="65" t="s">
        <v>231</v>
      </c>
      <c r="G15" s="65"/>
      <c r="H15" s="65"/>
      <c r="I15" s="66">
        <f>0.59*5</f>
        <v>2.9499999999999997</v>
      </c>
      <c r="J15" s="66"/>
      <c r="K15" s="67"/>
      <c r="L15" s="74"/>
      <c r="M15" s="68"/>
      <c r="N15" s="77"/>
      <c r="O15" s="69"/>
      <c r="P15" s="70"/>
      <c r="Q15" s="71"/>
      <c r="R15" s="72"/>
      <c r="T15" s="71"/>
    </row>
    <row r="16" spans="1:20" ht="19.5">
      <c r="A16" s="6"/>
      <c r="B16" s="6"/>
      <c r="C16" s="7">
        <v>25</v>
      </c>
      <c r="D16" s="7">
        <v>1</v>
      </c>
      <c r="E16" s="7" t="s">
        <v>225</v>
      </c>
      <c r="F16" s="7" t="s">
        <v>15</v>
      </c>
      <c r="G16" s="7"/>
      <c r="H16" s="7"/>
      <c r="I16" s="8">
        <v>2.79</v>
      </c>
      <c r="J16" s="8"/>
      <c r="K16" s="18"/>
      <c r="L16" s="22">
        <v>1.39</v>
      </c>
      <c r="M16" s="29">
        <f>2.79-1.39</f>
        <v>1.4000000000000001</v>
      </c>
      <c r="N16" s="30"/>
      <c r="O16" s="9"/>
      <c r="R16" s="27" t="s">
        <v>54</v>
      </c>
    </row>
    <row r="17" spans="1:20" ht="19.5">
      <c r="A17" s="6"/>
      <c r="B17" s="6"/>
      <c r="C17" s="7">
        <v>27</v>
      </c>
      <c r="D17" s="7">
        <v>1</v>
      </c>
      <c r="E17" s="7" t="s">
        <v>226</v>
      </c>
      <c r="F17" s="7" t="s">
        <v>232</v>
      </c>
      <c r="G17" s="7"/>
      <c r="H17" s="7"/>
      <c r="I17" s="8">
        <v>4.99</v>
      </c>
      <c r="J17" s="8"/>
      <c r="K17" s="18"/>
      <c r="L17" s="22">
        <v>2.4900000000000002</v>
      </c>
      <c r="M17" s="29">
        <f>4.99-2.49</f>
        <v>2.5</v>
      </c>
      <c r="N17" s="30"/>
      <c r="O17" s="9"/>
      <c r="R17" s="27" t="s">
        <v>54</v>
      </c>
    </row>
    <row r="18" spans="1:20" ht="19.5">
      <c r="A18" s="6"/>
      <c r="B18" s="6"/>
      <c r="C18" s="7"/>
      <c r="D18" s="7"/>
      <c r="E18" s="7"/>
      <c r="F18" s="7"/>
      <c r="G18" s="7"/>
      <c r="H18" s="7"/>
      <c r="I18" s="8">
        <f>+SUM(I6:I17)</f>
        <v>137.13</v>
      </c>
      <c r="J18" s="8">
        <v>0.75</v>
      </c>
      <c r="K18" s="18">
        <f>+J18+I18</f>
        <v>137.88</v>
      </c>
      <c r="L18" s="22"/>
      <c r="M18" s="29"/>
      <c r="N18" s="30"/>
      <c r="O18" s="9"/>
      <c r="P18" s="16">
        <v>148</v>
      </c>
      <c r="Q18" s="14">
        <v>216</v>
      </c>
      <c r="R18" s="27"/>
    </row>
    <row r="19" spans="1:20">
      <c r="A19" s="15"/>
      <c r="B19" s="6"/>
      <c r="C19" s="7"/>
      <c r="D19" s="7"/>
      <c r="E19" s="7"/>
      <c r="F19" s="7"/>
      <c r="G19" s="7"/>
      <c r="H19" s="7"/>
      <c r="I19" s="8"/>
      <c r="J19" s="8"/>
      <c r="K19" s="18"/>
      <c r="L19" s="22"/>
      <c r="M19" s="29"/>
      <c r="N19" s="30"/>
      <c r="O19" s="9"/>
    </row>
    <row r="20" spans="1:20">
      <c r="A20" s="41" t="s">
        <v>55</v>
      </c>
      <c r="B20" s="39"/>
      <c r="C20" s="40"/>
      <c r="D20" s="40"/>
      <c r="E20" s="40"/>
      <c r="F20" s="50"/>
      <c r="G20" s="40"/>
      <c r="H20" s="40"/>
      <c r="I20" s="42"/>
      <c r="J20" s="42"/>
      <c r="K20" s="43">
        <f>+SUM(K6:K19)</f>
        <v>137.88</v>
      </c>
      <c r="L20" s="42"/>
      <c r="M20" s="76">
        <f>SUM(M6:M17)</f>
        <v>27.14</v>
      </c>
      <c r="N20" s="76">
        <f>SUM(N6:N17)</f>
        <v>10.599999999999996</v>
      </c>
      <c r="O20" s="83">
        <f>M20+N20</f>
        <v>37.739999999999995</v>
      </c>
      <c r="P20" s="51"/>
      <c r="Q20" s="37"/>
      <c r="R20" s="35"/>
      <c r="S20" s="35"/>
      <c r="T20" s="37"/>
    </row>
    <row r="21" spans="1:20" ht="19.5">
      <c r="A21" s="15" t="s">
        <v>78</v>
      </c>
      <c r="B21" s="6" t="s">
        <v>79</v>
      </c>
      <c r="C21" s="7">
        <v>163</v>
      </c>
      <c r="D21" s="7">
        <v>1</v>
      </c>
      <c r="E21" s="7" t="s">
        <v>80</v>
      </c>
      <c r="F21" s="7" t="s">
        <v>82</v>
      </c>
      <c r="G21" s="7"/>
      <c r="H21" s="7"/>
      <c r="I21" s="8">
        <v>9.99</v>
      </c>
      <c r="J21" s="8"/>
      <c r="K21" s="18"/>
      <c r="L21" s="22"/>
      <c r="M21" s="29"/>
      <c r="N21" s="30"/>
      <c r="O21" s="9"/>
      <c r="R21" s="27" t="s">
        <v>54</v>
      </c>
    </row>
    <row r="22" spans="1:20" ht="19.5">
      <c r="A22" s="6"/>
      <c r="B22" s="6"/>
      <c r="C22" s="7">
        <v>45</v>
      </c>
      <c r="D22" s="7">
        <v>1</v>
      </c>
      <c r="E22" s="7" t="s">
        <v>81</v>
      </c>
      <c r="F22" s="7" t="s">
        <v>83</v>
      </c>
      <c r="G22" s="7" t="s">
        <v>84</v>
      </c>
      <c r="H22" s="7"/>
      <c r="I22" s="8">
        <v>2.79</v>
      </c>
      <c r="J22" s="8"/>
      <c r="K22" s="18"/>
      <c r="L22" s="22">
        <v>1.39</v>
      </c>
      <c r="M22" s="29">
        <f>2.79-1.39</f>
        <v>1.4000000000000001</v>
      </c>
      <c r="N22" s="30"/>
      <c r="O22" s="9"/>
      <c r="R22" s="27" t="s">
        <v>54</v>
      </c>
    </row>
    <row r="23" spans="1:20" ht="19.5">
      <c r="A23" s="6"/>
      <c r="B23" s="6"/>
      <c r="C23" s="7"/>
      <c r="D23" s="7"/>
      <c r="E23" s="7"/>
      <c r="F23" s="7"/>
      <c r="G23" s="7"/>
      <c r="H23" s="7"/>
      <c r="I23" s="8">
        <f>SUM(I21:I22)</f>
        <v>12.780000000000001</v>
      </c>
      <c r="J23" s="16">
        <v>0.75</v>
      </c>
      <c r="K23" s="23">
        <f>J23+I23</f>
        <v>13.530000000000001</v>
      </c>
      <c r="N23" s="29"/>
      <c r="O23" s="9"/>
      <c r="R23" s="27"/>
    </row>
    <row r="24" spans="1:20" ht="19.5">
      <c r="A24" s="6"/>
      <c r="B24" s="6"/>
      <c r="C24" s="7"/>
      <c r="D24" s="7"/>
      <c r="E24" s="7"/>
      <c r="F24" s="7"/>
      <c r="G24" s="7"/>
      <c r="H24" s="7"/>
      <c r="I24" s="8"/>
      <c r="K24" s="23"/>
      <c r="N24" s="29"/>
      <c r="O24" s="9"/>
      <c r="R24" s="27"/>
    </row>
    <row r="25" spans="1:20" ht="19.5">
      <c r="A25" s="15"/>
      <c r="B25" s="6" t="s">
        <v>85</v>
      </c>
      <c r="C25" s="7">
        <v>162</v>
      </c>
      <c r="D25" s="7">
        <v>1</v>
      </c>
      <c r="E25" s="7" t="s">
        <v>88</v>
      </c>
      <c r="F25" s="7" t="s">
        <v>86</v>
      </c>
      <c r="G25" s="7" t="s">
        <v>87</v>
      </c>
      <c r="H25" s="7"/>
      <c r="I25" s="8">
        <v>7.99</v>
      </c>
      <c r="J25" s="8"/>
      <c r="K25" s="18"/>
      <c r="L25" s="22">
        <v>6.39</v>
      </c>
      <c r="M25" s="29"/>
      <c r="N25" s="30">
        <f>7.99-6.39</f>
        <v>1.6000000000000005</v>
      </c>
      <c r="O25" s="9"/>
      <c r="R25" s="27" t="s">
        <v>54</v>
      </c>
    </row>
    <row r="26" spans="1:20" ht="19.5">
      <c r="A26" s="15"/>
      <c r="B26" s="6"/>
      <c r="C26" s="21">
        <v>189</v>
      </c>
      <c r="D26" s="7">
        <v>1</v>
      </c>
      <c r="E26" s="7" t="s">
        <v>89</v>
      </c>
      <c r="F26" s="7" t="s">
        <v>92</v>
      </c>
      <c r="G26" s="7"/>
      <c r="H26" s="7"/>
      <c r="I26" s="8">
        <v>2.99</v>
      </c>
      <c r="J26" s="8"/>
      <c r="K26" s="18"/>
      <c r="L26" s="22">
        <v>1.49</v>
      </c>
      <c r="M26" s="29">
        <f>2.99-1.49</f>
        <v>1.5000000000000002</v>
      </c>
      <c r="N26" s="30"/>
      <c r="O26" s="9"/>
      <c r="R26" s="27" t="s">
        <v>54</v>
      </c>
    </row>
    <row r="27" spans="1:20" ht="19.5">
      <c r="A27" s="15"/>
      <c r="B27" s="6"/>
      <c r="C27" s="7">
        <v>201</v>
      </c>
      <c r="D27" s="7">
        <v>1</v>
      </c>
      <c r="E27" s="7" t="s">
        <v>90</v>
      </c>
      <c r="F27" s="7" t="s">
        <v>91</v>
      </c>
      <c r="G27" s="7"/>
      <c r="H27" s="7"/>
      <c r="I27" s="8">
        <v>4</v>
      </c>
      <c r="J27" s="8"/>
      <c r="K27" s="18"/>
      <c r="L27" s="22">
        <v>2</v>
      </c>
      <c r="M27" s="29">
        <f>4-2</f>
        <v>2</v>
      </c>
      <c r="N27" s="30"/>
      <c r="O27" s="9"/>
      <c r="R27" s="27" t="s">
        <v>54</v>
      </c>
    </row>
    <row r="28" spans="1:20">
      <c r="A28" s="20"/>
      <c r="B28" s="20"/>
      <c r="D28" s="21"/>
      <c r="E28" s="21"/>
      <c r="F28" s="21"/>
      <c r="G28" s="21"/>
      <c r="H28" s="21"/>
      <c r="I28" s="22">
        <f>SUM(I25:I27)</f>
        <v>14.98</v>
      </c>
      <c r="J28" s="22">
        <v>0.75</v>
      </c>
      <c r="K28" s="18">
        <f>I28+J28</f>
        <v>15.73</v>
      </c>
      <c r="L28" s="22"/>
      <c r="M28" s="30"/>
      <c r="N28" s="30"/>
      <c r="O28" s="9"/>
      <c r="P28" s="32"/>
      <c r="R28" s="11"/>
      <c r="S28" s="11"/>
    </row>
    <row r="29" spans="1:20">
      <c r="A29" s="20"/>
      <c r="B29" s="20"/>
      <c r="D29" s="21"/>
      <c r="E29" s="21"/>
      <c r="F29" s="21"/>
      <c r="G29" s="21"/>
      <c r="H29" s="21"/>
      <c r="I29" s="22"/>
      <c r="J29" s="22"/>
      <c r="K29" s="18"/>
      <c r="L29" s="22"/>
      <c r="M29" s="30"/>
      <c r="N29" s="30"/>
      <c r="O29" s="9"/>
      <c r="P29" s="32"/>
      <c r="R29" s="11"/>
      <c r="S29" s="11"/>
    </row>
    <row r="30" spans="1:20" ht="19.5">
      <c r="A30" s="20"/>
      <c r="B30" s="20" t="s">
        <v>93</v>
      </c>
      <c r="C30" s="7">
        <v>35</v>
      </c>
      <c r="D30" s="21">
        <v>1</v>
      </c>
      <c r="E30" s="21" t="s">
        <v>94</v>
      </c>
      <c r="F30" s="21" t="s">
        <v>95</v>
      </c>
      <c r="G30" s="21" t="s">
        <v>77</v>
      </c>
      <c r="H30" s="21"/>
      <c r="I30" s="22">
        <v>5.99</v>
      </c>
      <c r="J30" s="22">
        <v>0.75</v>
      </c>
      <c r="K30" s="18">
        <f>I30+J30</f>
        <v>6.74</v>
      </c>
      <c r="L30" s="22">
        <v>2.99</v>
      </c>
      <c r="M30" s="30">
        <f>5.99-2.99</f>
        <v>3</v>
      </c>
      <c r="N30" s="30"/>
      <c r="O30" s="9"/>
      <c r="P30" s="32">
        <v>36</v>
      </c>
      <c r="Q30" s="14">
        <v>1759</v>
      </c>
      <c r="R30" s="27" t="s">
        <v>54</v>
      </c>
      <c r="S30" s="11"/>
    </row>
    <row r="31" spans="1:20">
      <c r="A31" s="20"/>
      <c r="B31" s="20"/>
      <c r="D31" s="21"/>
      <c r="E31" s="21"/>
      <c r="F31" s="21"/>
      <c r="G31" s="21"/>
      <c r="H31" s="21"/>
      <c r="I31" s="22"/>
      <c r="J31" s="22"/>
      <c r="K31" s="18"/>
      <c r="L31" s="22"/>
      <c r="M31" s="30"/>
      <c r="N31" s="30"/>
      <c r="O31" s="9"/>
      <c r="P31" s="32"/>
      <c r="R31" s="11"/>
      <c r="S31" s="11"/>
    </row>
    <row r="32" spans="1:20">
      <c r="A32" s="36" t="s">
        <v>55</v>
      </c>
      <c r="B32" s="35"/>
      <c r="C32" s="50"/>
      <c r="D32" s="50"/>
      <c r="E32" s="50"/>
      <c r="F32" s="50"/>
      <c r="G32" s="50"/>
      <c r="H32" s="50"/>
      <c r="I32" s="51"/>
      <c r="J32" s="51"/>
      <c r="K32" s="52">
        <f>+SUM(K21:K31)</f>
        <v>36</v>
      </c>
      <c r="L32" s="51"/>
      <c r="M32" s="82">
        <f>SUM(M21:M31)</f>
        <v>7.9</v>
      </c>
      <c r="N32" s="51">
        <f>SUM(N21:N31)</f>
        <v>1.6000000000000005</v>
      </c>
      <c r="O32" s="81">
        <f>N32+M32</f>
        <v>9.5</v>
      </c>
      <c r="P32" s="51"/>
      <c r="Q32" s="37"/>
      <c r="R32" s="35"/>
      <c r="S32" s="35"/>
      <c r="T32" s="37"/>
    </row>
    <row r="33" spans="1:18" ht="19.5">
      <c r="A33" t="s">
        <v>96</v>
      </c>
      <c r="B33" t="s">
        <v>97</v>
      </c>
      <c r="C33" s="1">
        <v>128</v>
      </c>
      <c r="D33" s="1">
        <v>1</v>
      </c>
      <c r="E33" s="1" t="s">
        <v>98</v>
      </c>
      <c r="F33" s="1" t="s">
        <v>99</v>
      </c>
      <c r="I33" s="16">
        <v>12.99</v>
      </c>
      <c r="J33" s="16">
        <v>0.75</v>
      </c>
      <c r="K33" s="23">
        <f>I33+J33</f>
        <v>13.74</v>
      </c>
      <c r="L33" s="32">
        <v>10.39</v>
      </c>
      <c r="N33" s="16">
        <f>12.99-10.39</f>
        <v>2.5999999999999996</v>
      </c>
      <c r="P33" s="16">
        <v>13.74</v>
      </c>
      <c r="Q33" s="14">
        <v>4875</v>
      </c>
      <c r="R33" s="27" t="s">
        <v>54</v>
      </c>
    </row>
    <row r="35" spans="1:18" ht="19.5">
      <c r="B35" t="s">
        <v>100</v>
      </c>
      <c r="C35" s="1">
        <v>118</v>
      </c>
      <c r="D35" s="1">
        <v>1</v>
      </c>
      <c r="E35" s="1" t="s">
        <v>102</v>
      </c>
      <c r="F35" s="1" t="s">
        <v>103</v>
      </c>
      <c r="H35" s="1">
        <v>7</v>
      </c>
      <c r="I35" s="16">
        <v>24.99</v>
      </c>
      <c r="L35" s="32">
        <v>12.49</v>
      </c>
      <c r="M35" s="16">
        <f>24.99-12.49</f>
        <v>12.499999999999998</v>
      </c>
      <c r="R35" s="27" t="s">
        <v>54</v>
      </c>
    </row>
    <row r="36" spans="1:18" ht="19.5">
      <c r="C36" s="1" t="s">
        <v>101</v>
      </c>
      <c r="D36" s="1">
        <v>1</v>
      </c>
      <c r="E36" s="1" t="s">
        <v>104</v>
      </c>
      <c r="F36" s="1" t="s">
        <v>105</v>
      </c>
      <c r="G36" s="1" t="s">
        <v>77</v>
      </c>
      <c r="I36" s="16">
        <v>15</v>
      </c>
      <c r="R36" s="27" t="s">
        <v>54</v>
      </c>
    </row>
    <row r="37" spans="1:18">
      <c r="I37" s="16">
        <f>SUM(I35:I36)</f>
        <v>39.989999999999995</v>
      </c>
      <c r="J37" s="16">
        <v>0.75</v>
      </c>
      <c r="K37" s="23">
        <f>J37+I37</f>
        <v>40.739999999999995</v>
      </c>
      <c r="P37" s="16">
        <v>40.74</v>
      </c>
      <c r="Q37" s="14">
        <v>1711</v>
      </c>
    </row>
    <row r="39" spans="1:18">
      <c r="B39" t="s">
        <v>106</v>
      </c>
      <c r="C39" s="1" t="s">
        <v>107</v>
      </c>
      <c r="D39" s="1">
        <v>1</v>
      </c>
      <c r="E39" s="1" t="s">
        <v>108</v>
      </c>
      <c r="F39" s="1" t="s">
        <v>113</v>
      </c>
      <c r="G39" s="1" t="s">
        <v>114</v>
      </c>
      <c r="I39" s="16">
        <v>1.79</v>
      </c>
      <c r="L39" s="32">
        <v>5</v>
      </c>
      <c r="M39" s="16">
        <f>10-5</f>
        <v>5</v>
      </c>
    </row>
    <row r="40" spans="1:18" ht="19.5">
      <c r="C40" s="1" t="s">
        <v>107</v>
      </c>
      <c r="D40" s="1">
        <v>1</v>
      </c>
      <c r="E40" s="1" t="s">
        <v>109</v>
      </c>
      <c r="F40" s="1" t="s">
        <v>113</v>
      </c>
      <c r="G40" s="1" t="s">
        <v>77</v>
      </c>
      <c r="I40" s="16">
        <v>1.79</v>
      </c>
      <c r="L40" s="32">
        <v>5</v>
      </c>
      <c r="M40" s="16">
        <f>10-5</f>
        <v>5</v>
      </c>
      <c r="R40" s="27" t="s">
        <v>54</v>
      </c>
    </row>
    <row r="41" spans="1:18" ht="19.5">
      <c r="C41" s="1">
        <v>192</v>
      </c>
      <c r="D41" s="1">
        <v>1</v>
      </c>
      <c r="E41" s="1" t="s">
        <v>110</v>
      </c>
      <c r="F41" s="1" t="s">
        <v>115</v>
      </c>
      <c r="L41" s="32">
        <v>2.99</v>
      </c>
      <c r="M41" s="16">
        <f>5.99-2.99</f>
        <v>3</v>
      </c>
      <c r="R41" s="27" t="s">
        <v>54</v>
      </c>
    </row>
    <row r="42" spans="1:18" ht="19.5">
      <c r="C42" s="1">
        <v>193</v>
      </c>
      <c r="D42" s="1">
        <v>1</v>
      </c>
      <c r="E42" s="1" t="s">
        <v>111</v>
      </c>
      <c r="F42" s="1" t="s">
        <v>116</v>
      </c>
      <c r="L42" s="32">
        <v>2.99</v>
      </c>
      <c r="M42" s="16">
        <f>5.99-2.99</f>
        <v>3</v>
      </c>
      <c r="R42" s="27" t="s">
        <v>54</v>
      </c>
    </row>
    <row r="43" spans="1:18" ht="19.5">
      <c r="C43" s="1">
        <v>192</v>
      </c>
      <c r="D43" s="1">
        <v>1</v>
      </c>
      <c r="E43" s="1" t="s">
        <v>112</v>
      </c>
      <c r="F43" s="1" t="s">
        <v>117</v>
      </c>
      <c r="I43" s="16">
        <v>12.99</v>
      </c>
      <c r="L43" s="32">
        <v>2.99</v>
      </c>
      <c r="M43" s="16">
        <f>5.99-2.99</f>
        <v>3</v>
      </c>
      <c r="R43" s="27" t="s">
        <v>54</v>
      </c>
    </row>
    <row r="44" spans="1:18">
      <c r="I44" s="16">
        <f>SUM(I39:I43)</f>
        <v>16.57</v>
      </c>
      <c r="J44" s="16">
        <v>0.75</v>
      </c>
      <c r="K44" s="23">
        <f>I44+J44:J44</f>
        <v>17.32</v>
      </c>
      <c r="P44" s="16">
        <v>17.32</v>
      </c>
      <c r="Q44" s="14">
        <v>2229</v>
      </c>
    </row>
    <row r="45" spans="1:18">
      <c r="K45" s="23"/>
    </row>
    <row r="46" spans="1:18" ht="19.5">
      <c r="B46" t="s">
        <v>118</v>
      </c>
      <c r="C46" s="1">
        <v>101</v>
      </c>
      <c r="D46" s="1">
        <v>1</v>
      </c>
      <c r="E46" s="1" t="s">
        <v>119</v>
      </c>
      <c r="F46" s="1" t="s">
        <v>122</v>
      </c>
      <c r="I46" s="16">
        <v>9.99</v>
      </c>
      <c r="K46" s="23"/>
      <c r="L46" s="32">
        <v>4.99</v>
      </c>
      <c r="M46" s="16">
        <f>9.99-4.99</f>
        <v>5</v>
      </c>
      <c r="R46" s="27" t="s">
        <v>54</v>
      </c>
    </row>
    <row r="47" spans="1:18" ht="19.5">
      <c r="C47" s="1">
        <v>114</v>
      </c>
      <c r="D47" s="1">
        <v>1</v>
      </c>
      <c r="E47" s="1" t="s">
        <v>120</v>
      </c>
      <c r="F47" s="1" t="s">
        <v>123</v>
      </c>
      <c r="I47" s="16">
        <v>5.99</v>
      </c>
      <c r="K47" s="23"/>
      <c r="L47" s="32">
        <v>2.99</v>
      </c>
      <c r="M47" s="16">
        <f>5.99-2.99</f>
        <v>3</v>
      </c>
      <c r="R47" s="27" t="s">
        <v>54</v>
      </c>
    </row>
    <row r="48" spans="1:18" ht="19.5">
      <c r="C48" s="1">
        <v>114</v>
      </c>
      <c r="D48" s="1">
        <v>1</v>
      </c>
      <c r="E48" s="1" t="s">
        <v>121</v>
      </c>
      <c r="F48" s="1" t="s">
        <v>125</v>
      </c>
      <c r="G48" s="1" t="s">
        <v>124</v>
      </c>
      <c r="I48" s="16">
        <v>5.99</v>
      </c>
      <c r="K48" s="23"/>
      <c r="L48" s="32">
        <v>2.99</v>
      </c>
      <c r="M48" s="16">
        <f>5.99-2.99</f>
        <v>3</v>
      </c>
      <c r="R48" s="27" t="s">
        <v>54</v>
      </c>
    </row>
    <row r="49" spans="2:18">
      <c r="I49" s="16">
        <f>SUM(I46:I48)</f>
        <v>21.97</v>
      </c>
      <c r="J49" s="16">
        <v>0.75</v>
      </c>
      <c r="K49" s="23">
        <f>I49+J49</f>
        <v>22.72</v>
      </c>
      <c r="P49" s="16">
        <v>21.97</v>
      </c>
      <c r="Q49" s="14">
        <v>6425</v>
      </c>
    </row>
    <row r="50" spans="2:18">
      <c r="K50" s="23"/>
      <c r="Q50" s="48">
        <v>0.75</v>
      </c>
    </row>
    <row r="51" spans="2:18" ht="19.5">
      <c r="B51" t="s">
        <v>126</v>
      </c>
      <c r="C51" s="1">
        <v>82</v>
      </c>
      <c r="D51" s="1">
        <v>1</v>
      </c>
      <c r="E51" s="1" t="s">
        <v>127</v>
      </c>
      <c r="F51" s="1" t="s">
        <v>116</v>
      </c>
      <c r="K51" s="23"/>
      <c r="L51" s="32">
        <v>6</v>
      </c>
      <c r="M51" s="16">
        <f>12-6</f>
        <v>6</v>
      </c>
      <c r="R51" s="27" t="s">
        <v>54</v>
      </c>
    </row>
    <row r="52" spans="2:18" ht="19.5">
      <c r="C52" s="1">
        <v>82</v>
      </c>
      <c r="D52" s="1">
        <v>1</v>
      </c>
      <c r="E52" s="1" t="s">
        <v>128</v>
      </c>
      <c r="F52" s="1" t="s">
        <v>115</v>
      </c>
      <c r="I52" s="16">
        <v>24</v>
      </c>
      <c r="K52" s="23"/>
      <c r="L52" s="32">
        <v>6</v>
      </c>
      <c r="M52" s="16">
        <f>12-6</f>
        <v>6</v>
      </c>
      <c r="R52" s="27" t="s">
        <v>54</v>
      </c>
    </row>
    <row r="53" spans="2:18" ht="19.5">
      <c r="C53" s="1">
        <v>175</v>
      </c>
      <c r="D53" s="1">
        <v>2</v>
      </c>
      <c r="E53" s="1" t="s">
        <v>129</v>
      </c>
      <c r="F53" s="1" t="s">
        <v>132</v>
      </c>
      <c r="G53" s="1" t="s">
        <v>133</v>
      </c>
      <c r="I53" s="16">
        <v>6.99</v>
      </c>
      <c r="K53" s="23"/>
      <c r="L53" s="32">
        <v>2.99</v>
      </c>
      <c r="M53" s="16">
        <f>5.98-2.99</f>
        <v>2.99</v>
      </c>
      <c r="R53" s="27" t="s">
        <v>54</v>
      </c>
    </row>
    <row r="54" spans="2:18" ht="19.5">
      <c r="C54" s="1">
        <v>180</v>
      </c>
      <c r="D54" s="1">
        <v>1</v>
      </c>
      <c r="E54" s="1" t="s">
        <v>130</v>
      </c>
      <c r="F54" s="1" t="s">
        <v>134</v>
      </c>
      <c r="I54" s="16">
        <v>3.49</v>
      </c>
      <c r="K54" s="23"/>
      <c r="L54" s="32">
        <v>1.74</v>
      </c>
      <c r="M54" s="16">
        <f>3.49-1.74</f>
        <v>1.7500000000000002</v>
      </c>
      <c r="R54" s="27" t="s">
        <v>54</v>
      </c>
    </row>
    <row r="55" spans="2:18" ht="19.5">
      <c r="C55" s="1">
        <v>198</v>
      </c>
      <c r="D55" s="1">
        <v>1</v>
      </c>
      <c r="E55" s="1" t="s">
        <v>131</v>
      </c>
      <c r="F55" s="1" t="s">
        <v>233</v>
      </c>
      <c r="I55" s="16">
        <v>0.99</v>
      </c>
      <c r="K55" s="23"/>
      <c r="L55" s="32">
        <v>0.49299999999999999</v>
      </c>
      <c r="M55" s="16">
        <f>0.99-0.49</f>
        <v>0.5</v>
      </c>
      <c r="R55" s="27" t="s">
        <v>54</v>
      </c>
    </row>
    <row r="56" spans="2:18" ht="19.5">
      <c r="I56" s="16">
        <f>SUM(I52:I55)</f>
        <v>35.470000000000006</v>
      </c>
      <c r="J56" s="16">
        <v>1.5</v>
      </c>
      <c r="K56" s="23">
        <f>I56+J56</f>
        <v>36.970000000000006</v>
      </c>
      <c r="P56" s="16">
        <v>36.97</v>
      </c>
      <c r="Q56" s="14">
        <v>2119</v>
      </c>
      <c r="R56" s="27"/>
    </row>
    <row r="57" spans="2:18">
      <c r="K57" s="23"/>
    </row>
    <row r="58" spans="2:18" ht="19.5">
      <c r="B58" t="s">
        <v>135</v>
      </c>
      <c r="C58" s="1">
        <v>177</v>
      </c>
      <c r="D58" s="1">
        <v>1</v>
      </c>
      <c r="E58" s="1" t="s">
        <v>136</v>
      </c>
      <c r="F58" s="1" t="s">
        <v>140</v>
      </c>
      <c r="I58" s="16">
        <v>0.99</v>
      </c>
      <c r="K58" s="23"/>
      <c r="L58" s="32">
        <v>3</v>
      </c>
      <c r="M58" s="16">
        <f>6-3</f>
        <v>3</v>
      </c>
      <c r="R58" s="27" t="s">
        <v>54</v>
      </c>
    </row>
    <row r="59" spans="2:18" ht="19.5">
      <c r="C59" s="1">
        <v>179</v>
      </c>
      <c r="D59" s="1">
        <v>1</v>
      </c>
      <c r="E59" s="1" t="s">
        <v>137</v>
      </c>
      <c r="F59" s="1" t="s">
        <v>141</v>
      </c>
      <c r="I59" s="16">
        <v>7</v>
      </c>
      <c r="K59" s="23"/>
      <c r="L59" s="32">
        <v>1.74</v>
      </c>
      <c r="M59" s="16">
        <f>3.49-1.74</f>
        <v>1.7500000000000002</v>
      </c>
      <c r="R59" s="27" t="s">
        <v>54</v>
      </c>
    </row>
    <row r="60" spans="2:18" ht="19.5">
      <c r="C60" s="1">
        <v>190</v>
      </c>
      <c r="D60" s="1">
        <v>2</v>
      </c>
      <c r="E60" s="1" t="s">
        <v>138</v>
      </c>
      <c r="F60" s="1" t="s">
        <v>142</v>
      </c>
      <c r="I60" s="16">
        <v>3</v>
      </c>
      <c r="K60" s="23"/>
      <c r="L60" s="32">
        <v>0.99</v>
      </c>
      <c r="M60" s="16">
        <f>1.98-0.99</f>
        <v>0.99</v>
      </c>
      <c r="R60" s="27" t="s">
        <v>54</v>
      </c>
    </row>
    <row r="61" spans="2:18" ht="19.5">
      <c r="C61" s="1">
        <v>197</v>
      </c>
      <c r="D61" s="1">
        <v>2</v>
      </c>
      <c r="E61" s="1" t="s">
        <v>139</v>
      </c>
      <c r="F61" s="1" t="s">
        <v>143</v>
      </c>
      <c r="G61" s="1" t="s">
        <v>144</v>
      </c>
      <c r="I61" s="16">
        <v>6.28</v>
      </c>
      <c r="K61" s="23"/>
      <c r="L61" s="32">
        <v>1.99</v>
      </c>
      <c r="M61" s="16">
        <f>3.98-1.99</f>
        <v>1.99</v>
      </c>
      <c r="R61" s="27" t="s">
        <v>54</v>
      </c>
    </row>
    <row r="62" spans="2:18">
      <c r="I62" s="16">
        <f>SUM(I58:I61)</f>
        <v>17.27</v>
      </c>
      <c r="J62" s="16">
        <v>0.75</v>
      </c>
      <c r="K62" s="23">
        <f>I62+J62</f>
        <v>18.02</v>
      </c>
      <c r="Q62" s="48">
        <v>18.02</v>
      </c>
    </row>
    <row r="63" spans="2:18">
      <c r="K63" s="23"/>
      <c r="Q63" s="48"/>
    </row>
    <row r="64" spans="2:18" ht="19.5">
      <c r="B64" t="s">
        <v>135</v>
      </c>
      <c r="C64" s="1">
        <v>178</v>
      </c>
      <c r="D64" s="1">
        <v>1</v>
      </c>
      <c r="E64" s="1" t="s">
        <v>146</v>
      </c>
      <c r="F64" s="1" t="s">
        <v>148</v>
      </c>
      <c r="I64" s="16">
        <v>12</v>
      </c>
      <c r="K64" s="23"/>
      <c r="Q64" s="48"/>
      <c r="R64" s="27" t="s">
        <v>54</v>
      </c>
    </row>
    <row r="65" spans="1:20" ht="19.5">
      <c r="C65" s="1">
        <v>209</v>
      </c>
      <c r="D65" s="1">
        <v>1</v>
      </c>
      <c r="E65" s="1" t="s">
        <v>147</v>
      </c>
      <c r="F65" s="1" t="s">
        <v>149</v>
      </c>
      <c r="I65" s="16">
        <v>10</v>
      </c>
      <c r="K65" s="23"/>
      <c r="L65" s="32">
        <v>5</v>
      </c>
      <c r="M65" s="16">
        <f>10-5</f>
        <v>5</v>
      </c>
      <c r="Q65" s="48"/>
      <c r="R65" s="27" t="s">
        <v>54</v>
      </c>
    </row>
    <row r="66" spans="1:20">
      <c r="I66" s="16">
        <f>SUM(I64:I65)</f>
        <v>22</v>
      </c>
      <c r="J66" s="16">
        <v>0.75</v>
      </c>
      <c r="K66" s="23">
        <f>I66+J66</f>
        <v>22.75</v>
      </c>
      <c r="P66" s="16">
        <v>22.72</v>
      </c>
      <c r="Q66" s="14">
        <v>2121169602</v>
      </c>
    </row>
    <row r="67" spans="1:20">
      <c r="A67" s="36" t="s">
        <v>55</v>
      </c>
      <c r="B67" s="35"/>
      <c r="C67" s="50"/>
      <c r="D67" s="50"/>
      <c r="E67" s="50"/>
      <c r="F67" s="50"/>
      <c r="G67" s="50"/>
      <c r="H67" s="50"/>
      <c r="I67" s="51"/>
      <c r="J67" s="51"/>
      <c r="K67" s="52">
        <f>+SUM(K33:K66)</f>
        <v>172.26000000000002</v>
      </c>
      <c r="L67" s="51"/>
      <c r="M67" s="82">
        <f>SUM(M33:M66)</f>
        <v>72.47</v>
      </c>
      <c r="N67" s="51">
        <f>SUM(N33:N66)</f>
        <v>2.5999999999999996</v>
      </c>
      <c r="O67" s="81">
        <f>M67+N67</f>
        <v>75.069999999999993</v>
      </c>
      <c r="P67" s="51"/>
      <c r="Q67" s="53"/>
      <c r="R67" s="35"/>
      <c r="S67" s="35"/>
      <c r="T67" s="37"/>
    </row>
    <row r="68" spans="1:20" ht="19.5">
      <c r="A68" t="s">
        <v>150</v>
      </c>
      <c r="B68" t="s">
        <v>151</v>
      </c>
      <c r="C68" s="1">
        <v>11</v>
      </c>
      <c r="D68" s="1">
        <v>1</v>
      </c>
      <c r="E68" s="1" t="s">
        <v>152</v>
      </c>
      <c r="F68" s="1" t="s">
        <v>153</v>
      </c>
      <c r="H68" s="1" t="s">
        <v>154</v>
      </c>
      <c r="I68" s="16">
        <v>19.989999999999998</v>
      </c>
      <c r="L68" s="32">
        <v>15.99</v>
      </c>
      <c r="N68" s="16">
        <f>19.98-15.98</f>
        <v>4</v>
      </c>
      <c r="R68" s="27" t="s">
        <v>54</v>
      </c>
    </row>
    <row r="69" spans="1:20" ht="19.5">
      <c r="C69" s="1">
        <v>11</v>
      </c>
      <c r="D69" s="1">
        <v>1</v>
      </c>
      <c r="E69" s="1" t="s">
        <v>155</v>
      </c>
      <c r="F69" s="1" t="s">
        <v>156</v>
      </c>
      <c r="H69" s="1" t="s">
        <v>154</v>
      </c>
      <c r="I69" s="16">
        <v>19.989999999999998</v>
      </c>
      <c r="L69" s="32">
        <v>15.99</v>
      </c>
      <c r="N69" s="16">
        <f>19.99-15.99</f>
        <v>3.9999999999999982</v>
      </c>
      <c r="R69" s="27" t="s">
        <v>54</v>
      </c>
    </row>
    <row r="70" spans="1:20" ht="19.5">
      <c r="C70" s="1">
        <v>24</v>
      </c>
      <c r="D70" s="1">
        <v>1</v>
      </c>
      <c r="E70" s="1" t="s">
        <v>11</v>
      </c>
      <c r="F70" s="1" t="s">
        <v>158</v>
      </c>
      <c r="G70" s="1" t="s">
        <v>14</v>
      </c>
      <c r="I70" s="16">
        <v>3.99</v>
      </c>
      <c r="L70" s="32">
        <v>1.99</v>
      </c>
      <c r="M70" s="16">
        <f>3.99-1.99</f>
        <v>2</v>
      </c>
      <c r="R70" s="27" t="s">
        <v>54</v>
      </c>
    </row>
    <row r="71" spans="1:20" ht="19.5">
      <c r="C71" s="1">
        <v>24</v>
      </c>
      <c r="D71" s="1">
        <v>1</v>
      </c>
      <c r="E71" s="1" t="s">
        <v>157</v>
      </c>
      <c r="F71" s="1" t="s">
        <v>158</v>
      </c>
      <c r="G71" s="1" t="s">
        <v>159</v>
      </c>
      <c r="I71" s="16">
        <v>3.99</v>
      </c>
      <c r="L71" s="32">
        <v>1.99</v>
      </c>
      <c r="M71" s="16">
        <f t="shared" ref="M71:M72" si="0">3.99-1.99</f>
        <v>2</v>
      </c>
      <c r="R71" s="27" t="s">
        <v>54</v>
      </c>
    </row>
    <row r="72" spans="1:20" ht="19.5">
      <c r="C72" s="1">
        <v>24</v>
      </c>
      <c r="D72" s="1">
        <v>1</v>
      </c>
      <c r="E72" s="1" t="s">
        <v>161</v>
      </c>
      <c r="F72" s="1" t="s">
        <v>158</v>
      </c>
      <c r="G72" s="1" t="s">
        <v>160</v>
      </c>
      <c r="I72" s="16">
        <v>3.99</v>
      </c>
      <c r="L72" s="32">
        <v>1.99</v>
      </c>
      <c r="M72" s="16">
        <f t="shared" si="0"/>
        <v>2</v>
      </c>
      <c r="R72" s="27" t="s">
        <v>54</v>
      </c>
    </row>
    <row r="73" spans="1:20" ht="19.5">
      <c r="C73" s="1">
        <v>114</v>
      </c>
      <c r="D73" s="1">
        <v>1</v>
      </c>
      <c r="E73" s="1" t="s">
        <v>162</v>
      </c>
      <c r="F73" s="1" t="s">
        <v>163</v>
      </c>
      <c r="G73" s="1" t="s">
        <v>160</v>
      </c>
      <c r="I73" s="16">
        <v>5.99</v>
      </c>
      <c r="L73" s="32">
        <v>2.99</v>
      </c>
      <c r="M73" s="16">
        <f>5.99-2.99</f>
        <v>3</v>
      </c>
      <c r="R73" s="27" t="s">
        <v>54</v>
      </c>
    </row>
    <row r="74" spans="1:20" ht="19.5">
      <c r="C74" s="1">
        <v>187</v>
      </c>
      <c r="D74" s="1">
        <v>2</v>
      </c>
      <c r="E74" s="1" t="s">
        <v>164</v>
      </c>
      <c r="F74" s="1" t="s">
        <v>165</v>
      </c>
      <c r="I74" s="16">
        <f>6.25*2</f>
        <v>12.5</v>
      </c>
      <c r="L74" s="32">
        <v>3.12</v>
      </c>
      <c r="M74" s="16">
        <f>6.25-3.12</f>
        <v>3.13</v>
      </c>
      <c r="R74" s="27" t="s">
        <v>54</v>
      </c>
    </row>
    <row r="75" spans="1:20">
      <c r="I75" s="16">
        <f>+SUM(I68:I74)</f>
        <v>70.44</v>
      </c>
      <c r="J75" s="16">
        <v>0.75</v>
      </c>
      <c r="K75" s="23">
        <f>+J75+I75</f>
        <v>71.19</v>
      </c>
    </row>
    <row r="76" spans="1:20">
      <c r="K76" s="23"/>
    </row>
    <row r="77" spans="1:20" ht="19.5">
      <c r="B77" t="s">
        <v>166</v>
      </c>
      <c r="D77" s="1">
        <v>1</v>
      </c>
      <c r="E77" s="1" t="s">
        <v>167</v>
      </c>
      <c r="F77" s="1" t="s">
        <v>168</v>
      </c>
      <c r="I77" s="16">
        <v>1.79</v>
      </c>
      <c r="K77" s="23"/>
      <c r="L77" s="32">
        <v>0.9</v>
      </c>
      <c r="M77" s="16">
        <f>1.79-0.9</f>
        <v>0.89</v>
      </c>
      <c r="R77" s="27" t="s">
        <v>54</v>
      </c>
    </row>
    <row r="78" spans="1:20" ht="19.5">
      <c r="D78" s="1">
        <v>1</v>
      </c>
      <c r="E78" s="1" t="s">
        <v>169</v>
      </c>
      <c r="F78" s="1" t="s">
        <v>170</v>
      </c>
      <c r="I78" s="16">
        <v>1.79</v>
      </c>
      <c r="L78" s="32">
        <v>0.9</v>
      </c>
      <c r="M78" s="16">
        <f t="shared" ref="M78:M84" si="1">1.79-0.9</f>
        <v>0.89</v>
      </c>
      <c r="R78" s="27" t="s">
        <v>54</v>
      </c>
    </row>
    <row r="79" spans="1:20" ht="19.5">
      <c r="D79" s="1">
        <v>1</v>
      </c>
      <c r="E79" s="1" t="s">
        <v>171</v>
      </c>
      <c r="F79" s="1" t="s">
        <v>172</v>
      </c>
      <c r="I79" s="16">
        <v>1.79</v>
      </c>
      <c r="L79" s="32">
        <v>0.9</v>
      </c>
      <c r="M79" s="16">
        <f t="shared" si="1"/>
        <v>0.89</v>
      </c>
      <c r="R79" s="27" t="s">
        <v>54</v>
      </c>
    </row>
    <row r="80" spans="1:20" ht="19.5">
      <c r="D80" s="1">
        <v>1</v>
      </c>
      <c r="E80" s="1" t="s">
        <v>173</v>
      </c>
      <c r="F80" s="1" t="s">
        <v>177</v>
      </c>
      <c r="I80" s="16">
        <v>1.79</v>
      </c>
      <c r="L80" s="32">
        <v>0.9</v>
      </c>
      <c r="M80" s="16">
        <f t="shared" si="1"/>
        <v>0.89</v>
      </c>
      <c r="R80" s="27" t="s">
        <v>54</v>
      </c>
    </row>
    <row r="81" spans="2:18" ht="19.5">
      <c r="D81" s="1">
        <v>1</v>
      </c>
      <c r="E81" s="1" t="s">
        <v>109</v>
      </c>
      <c r="F81" s="1" t="s">
        <v>178</v>
      </c>
      <c r="I81" s="16">
        <v>1.79</v>
      </c>
      <c r="L81" s="32">
        <v>0.9</v>
      </c>
      <c r="M81" s="16">
        <f t="shared" si="1"/>
        <v>0.89</v>
      </c>
      <c r="R81" s="27" t="s">
        <v>54</v>
      </c>
    </row>
    <row r="82" spans="2:18" ht="19.5">
      <c r="D82" s="1">
        <v>1</v>
      </c>
      <c r="E82" s="1" t="s">
        <v>108</v>
      </c>
      <c r="F82" s="1" t="s">
        <v>179</v>
      </c>
      <c r="I82" s="16">
        <v>1.79</v>
      </c>
      <c r="L82" s="32">
        <v>0.9</v>
      </c>
      <c r="M82" s="16">
        <f t="shared" si="1"/>
        <v>0.89</v>
      </c>
      <c r="R82" s="27" t="s">
        <v>54</v>
      </c>
    </row>
    <row r="83" spans="2:18" ht="19.5">
      <c r="D83" s="1">
        <v>1</v>
      </c>
      <c r="E83" s="1" t="s">
        <v>174</v>
      </c>
      <c r="F83" s="1" t="s">
        <v>180</v>
      </c>
      <c r="I83" s="16">
        <v>1.79</v>
      </c>
      <c r="L83" s="32">
        <v>0.9</v>
      </c>
      <c r="M83" s="16">
        <f t="shared" si="1"/>
        <v>0.89</v>
      </c>
      <c r="R83" s="27" t="s">
        <v>54</v>
      </c>
    </row>
    <row r="84" spans="2:18" ht="19.5">
      <c r="D84" s="1">
        <v>1</v>
      </c>
      <c r="E84" s="1" t="s">
        <v>175</v>
      </c>
      <c r="F84" s="1" t="s">
        <v>181</v>
      </c>
      <c r="I84" s="16">
        <v>1.79</v>
      </c>
      <c r="L84" s="32">
        <v>0.9</v>
      </c>
      <c r="M84" s="16">
        <f t="shared" si="1"/>
        <v>0.89</v>
      </c>
      <c r="R84" s="27" t="s">
        <v>54</v>
      </c>
    </row>
    <row r="85" spans="2:18" ht="19.5">
      <c r="D85" s="1">
        <v>1</v>
      </c>
      <c r="E85" s="1" t="s">
        <v>176</v>
      </c>
      <c r="F85" s="1" t="s">
        <v>182</v>
      </c>
      <c r="I85" s="16">
        <v>16.989999999999998</v>
      </c>
      <c r="L85" s="32">
        <v>27.18</v>
      </c>
      <c r="N85" s="16">
        <f>33.98-27.18</f>
        <v>6.7999999999999972</v>
      </c>
      <c r="R85" s="27" t="s">
        <v>54</v>
      </c>
    </row>
    <row r="86" spans="2:18">
      <c r="I86" s="16">
        <f>+SUM(I77:I85)</f>
        <v>31.309999999999995</v>
      </c>
      <c r="J86" s="16">
        <v>0.75</v>
      </c>
      <c r="K86" s="23">
        <f>+J86+I86</f>
        <v>32.059999999999995</v>
      </c>
    </row>
    <row r="88" spans="2:18" ht="19.5">
      <c r="B88" t="s">
        <v>183</v>
      </c>
      <c r="D88" s="1">
        <v>2</v>
      </c>
      <c r="E88" s="1" t="s">
        <v>184</v>
      </c>
      <c r="F88" s="1" t="s">
        <v>188</v>
      </c>
      <c r="I88" s="16">
        <v>0.99</v>
      </c>
      <c r="L88" s="32">
        <v>0.99</v>
      </c>
      <c r="M88" s="16">
        <f>1.98-0.99</f>
        <v>0.99</v>
      </c>
      <c r="R88" s="27" t="s">
        <v>54</v>
      </c>
    </row>
    <row r="89" spans="2:18" ht="19.5">
      <c r="D89" s="1">
        <v>2</v>
      </c>
      <c r="E89" s="1" t="s">
        <v>185</v>
      </c>
      <c r="F89" s="1" t="s">
        <v>188</v>
      </c>
      <c r="I89" s="16">
        <v>0.99</v>
      </c>
      <c r="L89" s="32">
        <v>0.99</v>
      </c>
      <c r="M89" s="16">
        <f t="shared" ref="M89:M91" si="2">1.98-0.99</f>
        <v>0.99</v>
      </c>
      <c r="R89" s="27" t="s">
        <v>54</v>
      </c>
    </row>
    <row r="90" spans="2:18" ht="19.5">
      <c r="D90" s="1">
        <v>2</v>
      </c>
      <c r="E90" s="1" t="s">
        <v>186</v>
      </c>
      <c r="F90" s="1" t="s">
        <v>188</v>
      </c>
      <c r="I90" s="16">
        <v>0.99</v>
      </c>
      <c r="L90" s="32">
        <v>0.99</v>
      </c>
      <c r="M90" s="16">
        <f t="shared" si="2"/>
        <v>0.99</v>
      </c>
      <c r="R90" s="27" t="s">
        <v>54</v>
      </c>
    </row>
    <row r="91" spans="2:18" ht="19.5">
      <c r="D91" s="1">
        <v>2</v>
      </c>
      <c r="E91" s="1" t="s">
        <v>187</v>
      </c>
      <c r="F91" s="1" t="s">
        <v>188</v>
      </c>
      <c r="I91" s="16">
        <v>0.99</v>
      </c>
      <c r="L91" s="32">
        <v>0.99</v>
      </c>
      <c r="M91" s="16">
        <f t="shared" si="2"/>
        <v>0.99</v>
      </c>
      <c r="R91" s="27" t="s">
        <v>54</v>
      </c>
    </row>
    <row r="92" spans="2:18">
      <c r="I92" s="16">
        <f>+SUM(I88:I91)</f>
        <v>3.96</v>
      </c>
      <c r="J92" s="16">
        <v>0.75</v>
      </c>
      <c r="K92" s="23">
        <f>+J92+I92</f>
        <v>4.71</v>
      </c>
    </row>
    <row r="94" spans="2:18" ht="19.5">
      <c r="B94" t="s">
        <v>189</v>
      </c>
      <c r="C94" s="1">
        <v>45</v>
      </c>
      <c r="D94" s="1">
        <v>2</v>
      </c>
      <c r="E94" s="1" t="s">
        <v>68</v>
      </c>
      <c r="F94" s="1" t="s">
        <v>194</v>
      </c>
      <c r="G94" s="1" t="s">
        <v>195</v>
      </c>
      <c r="I94" s="16">
        <f>3.49*2</f>
        <v>6.98</v>
      </c>
      <c r="L94" s="32">
        <v>5.32</v>
      </c>
      <c r="M94" s="16">
        <f>10.47-5.23</f>
        <v>5.24</v>
      </c>
      <c r="R94" s="27" t="s">
        <v>54</v>
      </c>
    </row>
    <row r="95" spans="2:18" ht="19.5">
      <c r="C95" s="1">
        <v>72</v>
      </c>
      <c r="D95" s="1">
        <v>1</v>
      </c>
      <c r="E95" s="1" t="s">
        <v>190</v>
      </c>
      <c r="F95" s="1" t="s">
        <v>196</v>
      </c>
      <c r="G95" s="1" t="s">
        <v>211</v>
      </c>
      <c r="I95" s="16">
        <v>5.99</v>
      </c>
      <c r="L95" s="32">
        <v>2.99</v>
      </c>
      <c r="M95" s="16">
        <f>5.99-2.99</f>
        <v>3</v>
      </c>
      <c r="R95" s="27" t="s">
        <v>54</v>
      </c>
    </row>
    <row r="96" spans="2:18" ht="19.5">
      <c r="C96" s="1">
        <v>73</v>
      </c>
      <c r="D96" s="1">
        <v>1</v>
      </c>
      <c r="E96" s="1" t="s">
        <v>210</v>
      </c>
      <c r="F96" s="1" t="s">
        <v>197</v>
      </c>
      <c r="G96" s="1" t="s">
        <v>211</v>
      </c>
      <c r="R96" s="27" t="s">
        <v>54</v>
      </c>
    </row>
    <row r="97" spans="1:20" ht="19.5">
      <c r="C97" s="1">
        <v>202</v>
      </c>
      <c r="D97" s="1">
        <v>2</v>
      </c>
      <c r="E97" s="1" t="s">
        <v>191</v>
      </c>
      <c r="F97" s="1" t="s">
        <v>198</v>
      </c>
      <c r="G97" s="1" t="s">
        <v>199</v>
      </c>
      <c r="I97" s="16">
        <f>0.99*2</f>
        <v>1.98</v>
      </c>
      <c r="L97" s="32">
        <v>0.69</v>
      </c>
      <c r="M97" s="16">
        <f>1.38-0.69</f>
        <v>0.69</v>
      </c>
      <c r="R97" s="27" t="s">
        <v>54</v>
      </c>
    </row>
    <row r="98" spans="1:20" ht="19.5">
      <c r="D98" s="1">
        <v>1</v>
      </c>
      <c r="E98" s="1" t="s">
        <v>192</v>
      </c>
      <c r="F98" s="1" t="s">
        <v>200</v>
      </c>
      <c r="I98" s="16">
        <v>0.99</v>
      </c>
      <c r="L98" s="32">
        <v>0.34</v>
      </c>
      <c r="M98" s="16">
        <f>0.69-0.34</f>
        <v>0.34999999999999992</v>
      </c>
      <c r="R98" s="27" t="s">
        <v>54</v>
      </c>
    </row>
    <row r="99" spans="1:20" ht="19.5">
      <c r="D99" s="1">
        <v>1</v>
      </c>
      <c r="E99" s="1" t="s">
        <v>193</v>
      </c>
      <c r="F99" s="1" t="s">
        <v>201</v>
      </c>
      <c r="I99" s="16">
        <v>0.99</v>
      </c>
      <c r="L99" s="32">
        <v>0.34</v>
      </c>
      <c r="M99" s="16">
        <f>0.69-0.34</f>
        <v>0.34999999999999992</v>
      </c>
      <c r="R99" s="27" t="s">
        <v>54</v>
      </c>
    </row>
    <row r="100" spans="1:20">
      <c r="I100" s="16">
        <f>+SUM(I94:I99)</f>
        <v>16.93</v>
      </c>
      <c r="J100" s="16">
        <v>0.75</v>
      </c>
      <c r="K100" s="23">
        <f>+J100+I100</f>
        <v>17.68</v>
      </c>
    </row>
    <row r="102" spans="1:20" ht="19.5">
      <c r="B102" t="s">
        <v>202</v>
      </c>
      <c r="D102" s="1">
        <v>1</v>
      </c>
      <c r="E102" s="1" t="s">
        <v>203</v>
      </c>
      <c r="F102" s="1" t="s">
        <v>206</v>
      </c>
      <c r="I102" s="16">
        <v>3.5</v>
      </c>
      <c r="L102" s="32">
        <v>1.74</v>
      </c>
      <c r="M102" s="16">
        <f>3.49-1.74</f>
        <v>1.7500000000000002</v>
      </c>
      <c r="R102" s="27" t="s">
        <v>54</v>
      </c>
    </row>
    <row r="103" spans="1:20" ht="19.5">
      <c r="D103" s="1">
        <v>1</v>
      </c>
      <c r="E103" s="1" t="s">
        <v>204</v>
      </c>
      <c r="F103" s="1" t="s">
        <v>207</v>
      </c>
      <c r="I103" s="16">
        <v>19.989999999999998</v>
      </c>
      <c r="L103" s="32">
        <v>15.99</v>
      </c>
      <c r="N103" s="16">
        <f>19.99-15.99</f>
        <v>3.9999999999999982</v>
      </c>
      <c r="R103" s="27" t="s">
        <v>54</v>
      </c>
    </row>
    <row r="104" spans="1:20" ht="19.5">
      <c r="D104" s="1">
        <v>1</v>
      </c>
      <c r="E104" s="1" t="s">
        <v>176</v>
      </c>
      <c r="F104" s="1" t="s">
        <v>208</v>
      </c>
      <c r="I104" s="16">
        <v>16.989999999999998</v>
      </c>
      <c r="L104" s="32">
        <v>27.18</v>
      </c>
      <c r="N104" s="16">
        <f>33.98-27.18</f>
        <v>6.7999999999999972</v>
      </c>
      <c r="P104" s="16">
        <v>176.86</v>
      </c>
      <c r="Q104" s="14">
        <v>4769</v>
      </c>
      <c r="R104" s="27" t="s">
        <v>54</v>
      </c>
    </row>
    <row r="105" spans="1:20" ht="19.5">
      <c r="D105" s="1">
        <v>1</v>
      </c>
      <c r="E105" s="1" t="s">
        <v>205</v>
      </c>
      <c r="F105" s="1" t="s">
        <v>209</v>
      </c>
      <c r="I105" s="16">
        <v>9.99</v>
      </c>
      <c r="L105" s="32">
        <v>4.99</v>
      </c>
      <c r="M105" s="16">
        <f>9.99-4.99</f>
        <v>5</v>
      </c>
      <c r="R105" s="27" t="s">
        <v>54</v>
      </c>
    </row>
    <row r="106" spans="1:20">
      <c r="I106" s="16">
        <f>+SUM(I102:I105)</f>
        <v>50.47</v>
      </c>
      <c r="J106" s="16">
        <v>0.75</v>
      </c>
      <c r="K106" s="23">
        <f>+J106+I106</f>
        <v>51.22</v>
      </c>
    </row>
    <row r="107" spans="1:20">
      <c r="A107" s="36" t="s">
        <v>55</v>
      </c>
      <c r="B107" s="35"/>
      <c r="C107" s="50"/>
      <c r="D107" s="50"/>
      <c r="E107" s="50"/>
      <c r="F107" s="50"/>
      <c r="G107" s="50"/>
      <c r="H107" s="50"/>
      <c r="I107" s="51"/>
      <c r="J107" s="51"/>
      <c r="K107" s="52">
        <f>SUM(K68:K106)</f>
        <v>176.85999999999999</v>
      </c>
      <c r="L107" s="51"/>
      <c r="M107" s="82">
        <f>SUM(M68:M106)</f>
        <v>39.589999999999996</v>
      </c>
      <c r="N107" s="51">
        <f>SUM(N68:N106)</f>
        <v>25.599999999999991</v>
      </c>
      <c r="O107" s="81">
        <f>M107+N107</f>
        <v>65.189999999999984</v>
      </c>
      <c r="P107" s="51"/>
      <c r="Q107" s="53"/>
      <c r="R107" s="35"/>
      <c r="S107" s="35"/>
      <c r="T107" s="37"/>
    </row>
    <row r="108" spans="1:20" ht="19.5">
      <c r="A108" t="s">
        <v>212</v>
      </c>
      <c r="B108" t="s">
        <v>212</v>
      </c>
      <c r="C108" s="1">
        <v>196</v>
      </c>
      <c r="D108" s="1">
        <v>1</v>
      </c>
      <c r="E108" s="1" t="s">
        <v>213</v>
      </c>
      <c r="F108" s="1" t="s">
        <v>216</v>
      </c>
      <c r="G108" s="1" t="s">
        <v>199</v>
      </c>
      <c r="L108" s="32">
        <v>1.66</v>
      </c>
      <c r="M108" s="16">
        <f>3.33-1.66</f>
        <v>1.6700000000000002</v>
      </c>
      <c r="R108" s="27" t="s">
        <v>54</v>
      </c>
    </row>
    <row r="109" spans="1:20" ht="19.5">
      <c r="C109" s="1">
        <v>196</v>
      </c>
      <c r="D109" s="1">
        <v>1</v>
      </c>
      <c r="E109" s="1" t="s">
        <v>214</v>
      </c>
      <c r="F109" s="1" t="s">
        <v>216</v>
      </c>
      <c r="G109" s="1" t="s">
        <v>217</v>
      </c>
      <c r="L109" s="32">
        <v>1.66</v>
      </c>
      <c r="M109" s="16">
        <f>3.33-1.66</f>
        <v>1.6700000000000002</v>
      </c>
      <c r="R109" s="27" t="s">
        <v>54</v>
      </c>
    </row>
    <row r="110" spans="1:20" ht="19.5">
      <c r="C110" s="1">
        <v>196</v>
      </c>
      <c r="D110" s="1">
        <v>1</v>
      </c>
      <c r="E110" s="1" t="s">
        <v>215</v>
      </c>
      <c r="F110" s="1" t="s">
        <v>216</v>
      </c>
      <c r="G110" s="1" t="s">
        <v>218</v>
      </c>
      <c r="I110" s="16">
        <v>9.99</v>
      </c>
      <c r="J110" s="16">
        <v>0.75</v>
      </c>
      <c r="K110" s="23">
        <f>+J110+I110</f>
        <v>10.74</v>
      </c>
      <c r="L110" s="32">
        <v>1.66</v>
      </c>
      <c r="M110" s="16">
        <f>3.33-1.66</f>
        <v>1.6700000000000002</v>
      </c>
      <c r="P110" s="16">
        <v>10.74</v>
      </c>
      <c r="Q110" s="14">
        <v>937</v>
      </c>
      <c r="R110" s="27" t="s">
        <v>54</v>
      </c>
    </row>
    <row r="111" spans="1:20">
      <c r="A111" s="36" t="s">
        <v>55</v>
      </c>
      <c r="B111" s="35"/>
      <c r="C111" s="50"/>
      <c r="D111" s="50"/>
      <c r="E111" s="50"/>
      <c r="F111" s="50"/>
      <c r="G111" s="50"/>
      <c r="H111" s="50"/>
      <c r="I111" s="51"/>
      <c r="J111" s="51"/>
      <c r="K111" s="52">
        <f>+SUM(K108:K110)</f>
        <v>10.74</v>
      </c>
      <c r="L111" s="51"/>
      <c r="M111" s="82">
        <f>SUM(M108:M110)</f>
        <v>5.0100000000000007</v>
      </c>
      <c r="N111" s="51"/>
      <c r="O111" s="81">
        <f>M111+N111</f>
        <v>5.0100000000000007</v>
      </c>
      <c r="P111" s="51"/>
      <c r="Q111" s="53"/>
      <c r="R111" s="35"/>
      <c r="S111" s="35"/>
      <c r="T111" s="37"/>
    </row>
    <row r="115" spans="5:15" ht="15.75" thickBot="1">
      <c r="I115" s="223" t="s">
        <v>236</v>
      </c>
      <c r="J115" s="223"/>
      <c r="K115" s="80">
        <f>SUM(K111,K107,K67,K32,K20,K5)</f>
        <v>556.46</v>
      </c>
      <c r="L115" s="97">
        <f>+SUM(L2:L111)</f>
        <v>348.4030000000003</v>
      </c>
      <c r="M115" s="80">
        <f>SUM(M111,M107,M67,M32,M20,M5)</f>
        <v>163.10000000000002</v>
      </c>
      <c r="N115" s="80">
        <f t="shared" ref="N115:O115" si="3">SUM(N111,N107,N67,N32,N20,N5)</f>
        <v>40.399999999999984</v>
      </c>
      <c r="O115" s="80">
        <f t="shared" si="3"/>
        <v>203.5</v>
      </c>
    </row>
    <row r="116" spans="5:15">
      <c r="E116" s="98"/>
      <c r="F116" s="99" t="s">
        <v>247</v>
      </c>
      <c r="G116" s="100">
        <f>384.14-G119</f>
        <v>350.71999999999997</v>
      </c>
    </row>
    <row r="117" spans="5:15">
      <c r="E117" s="101"/>
      <c r="F117" s="102" t="s">
        <v>248</v>
      </c>
      <c r="G117" s="103">
        <f>+G116-G120</f>
        <v>340.71999999999997</v>
      </c>
    </row>
    <row r="118" spans="5:15">
      <c r="E118" s="101"/>
      <c r="F118" s="102"/>
      <c r="G118" s="103"/>
    </row>
    <row r="119" spans="5:15">
      <c r="E119" s="101"/>
      <c r="F119" s="104" t="s">
        <v>249</v>
      </c>
      <c r="G119" s="103">
        <f>0.14+7.66+23.4+2.22</f>
        <v>33.42</v>
      </c>
    </row>
    <row r="120" spans="5:15" ht="15.75" thickBot="1">
      <c r="E120" s="105"/>
      <c r="F120" s="106" t="s">
        <v>250</v>
      </c>
      <c r="G120" s="107">
        <v>10</v>
      </c>
    </row>
    <row r="122" spans="5:15">
      <c r="F122" s="108" t="s">
        <v>251</v>
      </c>
    </row>
    <row r="124" spans="5:15">
      <c r="L124" s="221" t="s">
        <v>234</v>
      </c>
      <c r="M124" s="222"/>
      <c r="N124" s="222"/>
      <c r="O124" s="78">
        <f>SUM(M107,M111,M67,M32,M20,M5)</f>
        <v>163.10000000000002</v>
      </c>
    </row>
    <row r="125" spans="5:15">
      <c r="L125" s="221" t="s">
        <v>235</v>
      </c>
      <c r="M125" s="222"/>
      <c r="N125" s="222"/>
      <c r="O125" s="79">
        <f>SUM(N107,N67,N32,N20)</f>
        <v>40.399999999999984</v>
      </c>
    </row>
    <row r="126" spans="5:15" ht="15.75" thickBot="1">
      <c r="O126" s="216">
        <f>O124+O125</f>
        <v>203.5</v>
      </c>
    </row>
    <row r="127" spans="5:15" ht="15.75" thickTop="1"/>
  </sheetData>
  <mergeCells count="3">
    <mergeCell ref="L124:N124"/>
    <mergeCell ref="L125:N125"/>
    <mergeCell ref="I115:J115"/>
  </mergeCells>
  <pageMargins left="0.7" right="0.7" top="0.75" bottom="0.75" header="0.3" footer="0.3"/>
  <pageSetup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topLeftCell="I1" workbookViewId="0">
      <selection activeCell="N15" sqref="N15"/>
    </sheetView>
  </sheetViews>
  <sheetFormatPr defaultRowHeight="15"/>
  <cols>
    <col min="1" max="1" width="17.140625" style="1" customWidth="1"/>
    <col min="2" max="2" width="22" style="1" customWidth="1"/>
    <col min="3" max="4" width="9.140625" style="1"/>
    <col min="5" max="5" width="16.42578125" style="1" customWidth="1"/>
    <col min="6" max="6" width="39.85546875" style="1" customWidth="1"/>
    <col min="7" max="7" width="19.85546875" style="1" customWidth="1"/>
    <col min="8" max="8" width="16" style="1" customWidth="1"/>
    <col min="9" max="9" width="17.28515625" style="85" customWidth="1"/>
    <col min="10" max="10" width="19.5703125" style="85" customWidth="1"/>
    <col min="11" max="11" width="9.140625" style="86"/>
    <col min="12" max="12" width="9.140625" style="85"/>
    <col min="13" max="15" width="9.140625" style="16"/>
    <col min="16" max="16" width="13" style="16" customWidth="1"/>
    <col min="17" max="17" width="18" customWidth="1"/>
  </cols>
  <sheetData>
    <row r="1" spans="1:20" ht="26.25">
      <c r="A1" s="2" t="s">
        <v>0</v>
      </c>
      <c r="B1" s="2" t="s">
        <v>23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4" t="s">
        <v>7</v>
      </c>
      <c r="J1" s="4" t="s">
        <v>17</v>
      </c>
      <c r="K1" s="17" t="s">
        <v>8</v>
      </c>
      <c r="L1" s="4" t="s">
        <v>63</v>
      </c>
      <c r="M1" s="113">
        <v>0.5</v>
      </c>
      <c r="N1" s="114">
        <v>0.2</v>
      </c>
      <c r="O1" s="115">
        <v>0.25</v>
      </c>
      <c r="P1" s="111" t="s">
        <v>18</v>
      </c>
      <c r="Q1" s="19" t="s">
        <v>19</v>
      </c>
      <c r="R1" s="25" t="s">
        <v>53</v>
      </c>
      <c r="S1" s="26"/>
      <c r="T1" s="26"/>
    </row>
    <row r="2" spans="1:20">
      <c r="A2" s="24" t="s">
        <v>237</v>
      </c>
      <c r="B2" s="1" t="s">
        <v>238</v>
      </c>
      <c r="C2" s="1" t="s">
        <v>239</v>
      </c>
      <c r="D2" s="1">
        <v>1</v>
      </c>
      <c r="E2" s="1" t="s">
        <v>240</v>
      </c>
      <c r="F2" s="1" t="s">
        <v>241</v>
      </c>
      <c r="I2" s="85">
        <v>0.99</v>
      </c>
      <c r="J2" s="85">
        <v>0.75</v>
      </c>
      <c r="K2" s="86">
        <f>I2+J2</f>
        <v>1.74</v>
      </c>
      <c r="L2" s="85" t="s">
        <v>252</v>
      </c>
      <c r="N2" s="16">
        <f>0.99-0.79</f>
        <v>0.19999999999999996</v>
      </c>
      <c r="P2" s="16">
        <v>1.74</v>
      </c>
    </row>
    <row r="8" spans="1:20" s="94" customFormat="1" ht="19.5">
      <c r="A8" s="87" t="s">
        <v>24</v>
      </c>
      <c r="B8" s="88" t="s">
        <v>25</v>
      </c>
      <c r="C8" s="89">
        <v>28</v>
      </c>
      <c r="D8" s="89">
        <v>3</v>
      </c>
      <c r="E8" s="89" t="s">
        <v>242</v>
      </c>
      <c r="F8" s="89" t="s">
        <v>243</v>
      </c>
      <c r="G8" s="89"/>
      <c r="H8" s="89">
        <v>1.7</v>
      </c>
      <c r="I8" s="90">
        <f>12.99*3</f>
        <v>38.97</v>
      </c>
      <c r="J8" s="91">
        <v>0.75</v>
      </c>
      <c r="K8" s="92">
        <f>I8+J8</f>
        <v>39.72</v>
      </c>
      <c r="L8" s="91">
        <v>31.18</v>
      </c>
      <c r="M8" s="93"/>
      <c r="N8" s="93">
        <f>38.97-31.18</f>
        <v>7.7899999999999991</v>
      </c>
      <c r="O8" s="93"/>
      <c r="P8" s="112"/>
      <c r="Q8" s="95"/>
      <c r="R8" s="96"/>
    </row>
    <row r="10" spans="1:20">
      <c r="B10" s="1" t="s">
        <v>244</v>
      </c>
      <c r="C10" s="1">
        <v>89</v>
      </c>
      <c r="D10" s="1">
        <v>1</v>
      </c>
      <c r="E10" s="1" t="s">
        <v>245</v>
      </c>
      <c r="F10" s="1" t="s">
        <v>246</v>
      </c>
      <c r="I10" s="85">
        <v>19.989999999999998</v>
      </c>
      <c r="J10" s="85">
        <v>0.75</v>
      </c>
      <c r="K10" s="86">
        <f>I10+J10</f>
        <v>20.74</v>
      </c>
      <c r="L10" s="85">
        <v>15.99</v>
      </c>
      <c r="N10" s="16">
        <f>19.99-15.99</f>
        <v>3.9999999999999982</v>
      </c>
    </row>
    <row r="12" spans="1:20">
      <c r="K12" s="86">
        <f>K8+K10</f>
        <v>60.459999999999994</v>
      </c>
    </row>
    <row r="13" spans="1:20">
      <c r="I13" s="109"/>
    </row>
    <row r="15" spans="1:20">
      <c r="I15" s="225" t="s">
        <v>254</v>
      </c>
      <c r="J15" s="225"/>
      <c r="K15" s="86">
        <f>SUM(K2:K13)</f>
        <v>122.66</v>
      </c>
      <c r="N15" s="126">
        <f>+SUM(N2:N14)</f>
        <v>11.989999999999998</v>
      </c>
    </row>
    <row r="16" spans="1:20">
      <c r="H16" s="84">
        <f>SUM(I2:I10)+0.75</f>
        <v>60.7</v>
      </c>
    </row>
    <row r="22" spans="8:12">
      <c r="H22" s="84">
        <f>I12+I23+0.75-11.99</f>
        <v>24.689999999999998</v>
      </c>
    </row>
    <row r="23" spans="8:12">
      <c r="I23" s="85">
        <f>6.98+10+8.75+10.2</f>
        <v>35.93</v>
      </c>
      <c r="J23" s="110" t="s">
        <v>253</v>
      </c>
    </row>
    <row r="26" spans="8:12">
      <c r="I26" s="116"/>
      <c r="J26" s="116"/>
      <c r="K26" s="117"/>
      <c r="L26" s="116"/>
    </row>
    <row r="27" spans="8:12">
      <c r="I27" s="224"/>
      <c r="J27" s="224"/>
      <c r="K27" s="224"/>
      <c r="L27" s="224"/>
    </row>
  </sheetData>
  <mergeCells count="2">
    <mergeCell ref="I27:L27"/>
    <mergeCell ref="I15:J1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3"/>
  <sheetViews>
    <sheetView topLeftCell="J1" workbookViewId="0">
      <selection activeCell="P7" sqref="P7"/>
    </sheetView>
  </sheetViews>
  <sheetFormatPr defaultRowHeight="15"/>
  <cols>
    <col min="1" max="1" width="17.140625" style="1" customWidth="1"/>
    <col min="2" max="2" width="22" style="1" customWidth="1"/>
    <col min="3" max="4" width="9.140625" style="1"/>
    <col min="5" max="5" width="16.42578125" style="1" customWidth="1"/>
    <col min="6" max="6" width="39.85546875" style="1" customWidth="1"/>
    <col min="7" max="7" width="19.85546875" style="1" customWidth="1"/>
    <col min="8" max="8" width="16" style="1" customWidth="1"/>
    <col min="9" max="9" width="17.28515625" style="85" customWidth="1"/>
    <col min="10" max="10" width="19.5703125" style="85" customWidth="1"/>
    <col min="11" max="11" width="11.28515625" style="86" customWidth="1"/>
    <col min="12" max="12" width="9.140625" style="85"/>
    <col min="13" max="15" width="9.140625" style="16"/>
    <col min="16" max="16" width="11" style="129" bestFit="1" customWidth="1"/>
    <col min="17" max="17" width="13" style="16" customWidth="1"/>
    <col min="18" max="18" width="18" style="14" customWidth="1"/>
  </cols>
  <sheetData>
    <row r="1" spans="1:22" ht="26.25">
      <c r="A1" s="2" t="s">
        <v>0</v>
      </c>
      <c r="B1" s="2" t="s">
        <v>23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4" t="s">
        <v>7</v>
      </c>
      <c r="J1" s="4" t="s">
        <v>17</v>
      </c>
      <c r="K1" s="17" t="s">
        <v>8</v>
      </c>
      <c r="L1" s="4" t="s">
        <v>63</v>
      </c>
      <c r="M1" s="113">
        <v>0.5</v>
      </c>
      <c r="N1" s="114">
        <v>0.2</v>
      </c>
      <c r="O1" s="115">
        <v>0.25</v>
      </c>
      <c r="P1" s="128" t="s">
        <v>270</v>
      </c>
      <c r="Q1" s="111" t="s">
        <v>18</v>
      </c>
      <c r="R1" s="19" t="s">
        <v>19</v>
      </c>
      <c r="S1" s="25" t="s">
        <v>53</v>
      </c>
      <c r="T1" s="26"/>
      <c r="U1" s="26"/>
    </row>
    <row r="2" spans="1:22">
      <c r="A2" s="24" t="s">
        <v>237</v>
      </c>
      <c r="B2" s="1" t="s">
        <v>256</v>
      </c>
      <c r="C2" s="1">
        <v>179</v>
      </c>
      <c r="D2" s="1">
        <v>1</v>
      </c>
      <c r="E2" s="1">
        <v>326840</v>
      </c>
      <c r="F2" s="1" t="s">
        <v>257</v>
      </c>
      <c r="I2" s="85">
        <v>5</v>
      </c>
      <c r="L2" s="85">
        <v>4</v>
      </c>
      <c r="N2" s="16">
        <f>5-4</f>
        <v>1</v>
      </c>
    </row>
    <row r="3" spans="1:22">
      <c r="C3" s="1">
        <v>112</v>
      </c>
      <c r="D3" s="1">
        <v>1</v>
      </c>
      <c r="E3" s="1">
        <v>866141</v>
      </c>
      <c r="F3" s="1" t="s">
        <v>258</v>
      </c>
      <c r="I3" s="85">
        <v>12.99</v>
      </c>
      <c r="J3" s="85">
        <v>0.75</v>
      </c>
      <c r="K3" s="86">
        <f>I2+I3+J3+0.4</f>
        <v>19.14</v>
      </c>
      <c r="L3" s="85">
        <v>10.39</v>
      </c>
      <c r="N3" s="16">
        <f>12.99-10.39</f>
        <v>2.5999999999999996</v>
      </c>
      <c r="Q3" s="16">
        <v>11.65</v>
      </c>
      <c r="R3" s="14">
        <v>416159</v>
      </c>
      <c r="S3" s="124" t="s">
        <v>272</v>
      </c>
      <c r="T3" s="125"/>
      <c r="U3" s="125"/>
      <c r="V3" s="126"/>
    </row>
    <row r="4" spans="1:22">
      <c r="L4" s="120"/>
      <c r="M4" s="121"/>
      <c r="N4" s="121"/>
    </row>
    <row r="5" spans="1:22">
      <c r="B5" s="1" t="s">
        <v>135</v>
      </c>
      <c r="C5" s="1">
        <v>8</v>
      </c>
      <c r="D5" s="1">
        <v>2</v>
      </c>
      <c r="E5" s="1">
        <v>822190</v>
      </c>
      <c r="F5" s="1" t="s">
        <v>259</v>
      </c>
      <c r="I5" s="85">
        <v>8</v>
      </c>
      <c r="L5" s="120">
        <v>6.4</v>
      </c>
      <c r="M5" s="121"/>
      <c r="N5" s="121">
        <f>8-6.4</f>
        <v>1.5999999999999996</v>
      </c>
      <c r="Q5" s="16">
        <v>32.74</v>
      </c>
      <c r="R5" s="14">
        <v>4883</v>
      </c>
    </row>
    <row r="6" spans="1:22">
      <c r="C6" s="1">
        <v>158</v>
      </c>
      <c r="D6" s="1">
        <v>3</v>
      </c>
      <c r="E6" s="1">
        <v>322970</v>
      </c>
      <c r="F6" s="1" t="s">
        <v>260</v>
      </c>
      <c r="I6" s="85">
        <v>6.5</v>
      </c>
      <c r="L6" s="85">
        <v>5.2</v>
      </c>
      <c r="M6" s="121"/>
      <c r="N6" s="121">
        <f>6.5-5.2</f>
        <v>1.2999999999999998</v>
      </c>
    </row>
    <row r="7" spans="1:22">
      <c r="F7" s="1" t="s">
        <v>268</v>
      </c>
      <c r="H7" s="1" t="s">
        <v>269</v>
      </c>
      <c r="I7" s="85">
        <v>10</v>
      </c>
      <c r="J7" s="85">
        <v>0.75</v>
      </c>
      <c r="K7" s="86">
        <f>SUM(I5:J7)</f>
        <v>25.25</v>
      </c>
      <c r="L7" s="122">
        <v>8</v>
      </c>
      <c r="M7" s="121"/>
      <c r="N7" s="123">
        <f>10-8</f>
        <v>2</v>
      </c>
      <c r="O7" s="123"/>
      <c r="P7" s="218">
        <f>SUM(M2:N7)</f>
        <v>8.5</v>
      </c>
      <c r="Q7" s="123"/>
      <c r="R7" s="127"/>
    </row>
    <row r="8" spans="1:22">
      <c r="A8" s="133"/>
      <c r="B8" s="133"/>
      <c r="C8" s="133"/>
      <c r="D8" s="133"/>
      <c r="E8" s="133"/>
      <c r="F8" s="133"/>
      <c r="G8" s="133"/>
      <c r="H8" s="133"/>
      <c r="L8" s="121"/>
      <c r="M8" s="121"/>
      <c r="N8" s="121"/>
      <c r="O8" s="121"/>
      <c r="P8" s="130"/>
      <c r="Q8" s="121"/>
      <c r="R8" s="134"/>
    </row>
    <row r="9" spans="1:22">
      <c r="A9" s="133"/>
      <c r="B9" s="133"/>
      <c r="C9" s="133"/>
      <c r="D9" s="133"/>
      <c r="E9" s="133"/>
      <c r="F9" s="133"/>
      <c r="G9" s="133"/>
      <c r="H9" s="133"/>
      <c r="L9" s="121"/>
      <c r="M9" s="121"/>
      <c r="N9" s="121"/>
      <c r="O9" s="121"/>
      <c r="P9" s="130"/>
      <c r="Q9" s="121"/>
      <c r="R9" s="134"/>
    </row>
    <row r="10" spans="1:22">
      <c r="A10" s="133"/>
      <c r="B10" s="133"/>
      <c r="C10" s="133"/>
      <c r="D10" s="133"/>
      <c r="E10" s="133"/>
      <c r="F10" s="133"/>
      <c r="G10" s="133"/>
      <c r="H10" s="133"/>
      <c r="L10" s="121"/>
      <c r="M10" s="121"/>
      <c r="N10" s="121"/>
      <c r="O10" s="121"/>
      <c r="P10" s="130"/>
      <c r="Q10" s="121"/>
      <c r="R10" s="134"/>
    </row>
    <row r="11" spans="1:22">
      <c r="A11" s="133"/>
      <c r="B11" s="133"/>
      <c r="C11" s="133"/>
      <c r="D11" s="133"/>
      <c r="E11" s="133"/>
      <c r="F11" s="133"/>
      <c r="G11" s="133"/>
      <c r="H11" s="133"/>
      <c r="L11" s="121"/>
      <c r="M11" s="121"/>
      <c r="N11" s="121"/>
      <c r="O11" s="121"/>
      <c r="P11" s="130"/>
      <c r="Q11" s="121"/>
      <c r="R11" s="134"/>
    </row>
    <row r="12" spans="1:22">
      <c r="A12" s="133"/>
      <c r="B12" s="133"/>
      <c r="C12" s="133"/>
      <c r="D12" s="133"/>
      <c r="E12" s="133"/>
      <c r="F12" s="133"/>
      <c r="G12" s="133"/>
      <c r="H12" s="133"/>
      <c r="L12" s="121"/>
      <c r="M12" s="121"/>
      <c r="N12" s="121"/>
      <c r="O12" s="121"/>
      <c r="P12" s="130"/>
      <c r="Q12" s="121"/>
      <c r="R12" s="134"/>
    </row>
    <row r="13" spans="1:22">
      <c r="A13" s="133"/>
      <c r="B13" s="133"/>
      <c r="C13" s="133"/>
      <c r="D13" s="133"/>
      <c r="E13" s="133"/>
      <c r="F13" s="133"/>
      <c r="G13" s="133"/>
      <c r="H13" s="133"/>
      <c r="L13" s="121"/>
      <c r="M13" s="121"/>
      <c r="N13" s="121"/>
      <c r="O13" s="121"/>
      <c r="P13" s="130"/>
      <c r="Q13" s="121"/>
      <c r="R13" s="134"/>
    </row>
    <row r="14" spans="1:22">
      <c r="A14" s="133"/>
      <c r="B14" s="133"/>
      <c r="C14" s="133"/>
      <c r="D14" s="133"/>
      <c r="E14" s="133"/>
      <c r="F14" s="133"/>
      <c r="G14" s="133"/>
      <c r="H14" s="133"/>
      <c r="L14" s="121"/>
      <c r="M14" s="121"/>
      <c r="N14" s="121"/>
      <c r="O14" s="121"/>
      <c r="P14" s="130"/>
      <c r="Q14" s="121"/>
      <c r="R14" s="134"/>
    </row>
    <row r="15" spans="1:22" s="94" customFormat="1" ht="19.5">
      <c r="A15" s="87" t="s">
        <v>255</v>
      </c>
      <c r="B15" s="88" t="s">
        <v>255</v>
      </c>
      <c r="C15" s="89">
        <v>15</v>
      </c>
      <c r="D15" s="89">
        <v>1</v>
      </c>
      <c r="E15" s="89">
        <v>882963</v>
      </c>
      <c r="F15" s="89" t="s">
        <v>261</v>
      </c>
      <c r="G15" s="89"/>
      <c r="H15" s="89"/>
      <c r="I15" s="90">
        <v>22</v>
      </c>
      <c r="J15" s="91"/>
      <c r="K15" s="92"/>
      <c r="L15" s="91">
        <v>17.600000000000001</v>
      </c>
      <c r="M15" s="93"/>
      <c r="N15" s="135">
        <f>22-17.6</f>
        <v>4.3999999999999986</v>
      </c>
      <c r="O15" s="93"/>
      <c r="P15" s="131"/>
      <c r="Q15" s="112"/>
      <c r="R15" s="95"/>
      <c r="S15" s="96"/>
    </row>
    <row r="16" spans="1:22">
      <c r="C16" s="1">
        <v>14</v>
      </c>
      <c r="D16" s="1">
        <v>1</v>
      </c>
      <c r="E16" s="1">
        <v>525649</v>
      </c>
      <c r="F16" s="1" t="s">
        <v>262</v>
      </c>
      <c r="I16" s="85">
        <v>15</v>
      </c>
      <c r="L16" s="85">
        <v>12</v>
      </c>
      <c r="N16" s="16">
        <f>15-12</f>
        <v>3</v>
      </c>
    </row>
    <row r="17" spans="3:18">
      <c r="C17" s="1">
        <v>16</v>
      </c>
      <c r="D17" s="1">
        <v>1</v>
      </c>
      <c r="E17" s="1">
        <v>402723</v>
      </c>
      <c r="F17" s="1" t="s">
        <v>263</v>
      </c>
      <c r="I17" s="85">
        <v>6</v>
      </c>
      <c r="L17" s="85">
        <v>4.8</v>
      </c>
      <c r="N17" s="16">
        <f>6-4.8</f>
        <v>1.2000000000000002</v>
      </c>
    </row>
    <row r="18" spans="3:18">
      <c r="C18" s="1">
        <v>17</v>
      </c>
      <c r="D18" s="1">
        <v>1</v>
      </c>
      <c r="E18" s="1">
        <v>115027</v>
      </c>
      <c r="F18" s="1" t="s">
        <v>264</v>
      </c>
      <c r="I18" s="85">
        <v>0</v>
      </c>
    </row>
    <row r="19" spans="3:18">
      <c r="C19" s="1">
        <v>17</v>
      </c>
      <c r="D19" s="1">
        <v>1</v>
      </c>
      <c r="E19" s="1">
        <v>535411</v>
      </c>
      <c r="F19" s="1" t="s">
        <v>265</v>
      </c>
      <c r="I19" s="85">
        <v>5</v>
      </c>
      <c r="L19" s="85">
        <v>4</v>
      </c>
      <c r="N19" s="16">
        <f>5-4</f>
        <v>1</v>
      </c>
    </row>
    <row r="20" spans="3:18">
      <c r="C20" s="1">
        <v>10</v>
      </c>
      <c r="D20" s="1">
        <v>1</v>
      </c>
      <c r="E20" s="1" t="s">
        <v>266</v>
      </c>
      <c r="F20" s="1" t="s">
        <v>267</v>
      </c>
      <c r="I20" s="85">
        <v>8</v>
      </c>
      <c r="J20" s="85">
        <v>0.75</v>
      </c>
      <c r="K20" s="86">
        <f>SUM(I15:J20)</f>
        <v>56.75</v>
      </c>
      <c r="L20" s="85">
        <v>6.4</v>
      </c>
      <c r="N20" s="16">
        <f>8-6.4</f>
        <v>1.5999999999999996</v>
      </c>
      <c r="P20" s="217">
        <f>SUM(N15:N20)</f>
        <v>11.199999999999998</v>
      </c>
      <c r="Q20" s="16">
        <v>56.75</v>
      </c>
      <c r="R20" s="14">
        <v>123</v>
      </c>
    </row>
    <row r="22" spans="3:18">
      <c r="I22" s="224"/>
      <c r="J22" s="224"/>
    </row>
    <row r="25" spans="3:18">
      <c r="I25" s="226" t="s">
        <v>271</v>
      </c>
      <c r="J25" s="226"/>
      <c r="K25" s="227"/>
      <c r="L25" s="85">
        <f>SUM(K2:K20)-SUM(P5:P20)-(0.75*3)+10.2</f>
        <v>89.39</v>
      </c>
    </row>
    <row r="30" spans="3:18">
      <c r="I30" s="116"/>
      <c r="J30" s="116"/>
      <c r="K30" s="117"/>
      <c r="L30" s="116"/>
    </row>
    <row r="31" spans="3:18">
      <c r="I31" s="116"/>
      <c r="J31" s="116"/>
      <c r="K31" s="117"/>
      <c r="L31" s="116"/>
    </row>
    <row r="32" spans="3:18">
      <c r="I32" s="116"/>
      <c r="J32" s="225" t="s">
        <v>333</v>
      </c>
      <c r="K32" s="225"/>
      <c r="L32" s="225"/>
      <c r="M32" s="225"/>
    </row>
    <row r="33" spans="5:12">
      <c r="I33" s="116"/>
      <c r="J33" s="116"/>
      <c r="K33" s="117"/>
      <c r="L33" s="116"/>
    </row>
    <row r="34" spans="5:12">
      <c r="I34" s="224"/>
      <c r="J34" s="224"/>
      <c r="K34" s="224"/>
      <c r="L34" s="224"/>
    </row>
    <row r="35" spans="5:12">
      <c r="I35" s="116"/>
      <c r="J35" s="116"/>
      <c r="K35" s="117"/>
      <c r="L35" s="116"/>
    </row>
    <row r="47" spans="5:12">
      <c r="E47" s="1">
        <v>105.94</v>
      </c>
    </row>
    <row r="53" spans="1:4">
      <c r="A53" s="228" t="s">
        <v>273</v>
      </c>
      <c r="B53" s="228"/>
      <c r="C53" s="228"/>
      <c r="D53" s="85">
        <f>4+5.2+6.4+4.8+12+4+10.39+17.6+6.4+8+0.4+10.2</f>
        <v>89.390000000000015</v>
      </c>
    </row>
  </sheetData>
  <mergeCells count="5">
    <mergeCell ref="I22:J22"/>
    <mergeCell ref="I34:L34"/>
    <mergeCell ref="I25:K25"/>
    <mergeCell ref="A53:C53"/>
    <mergeCell ref="J32:M3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Y85"/>
  <sheetViews>
    <sheetView topLeftCell="K1" workbookViewId="0">
      <pane ySplit="1" topLeftCell="A50" activePane="bottomLeft" state="frozen"/>
      <selection pane="bottomLeft" activeCell="Q70" sqref="Q70"/>
    </sheetView>
  </sheetViews>
  <sheetFormatPr defaultRowHeight="15.75"/>
  <cols>
    <col min="1" max="1" width="17.140625" style="119" customWidth="1"/>
    <col min="2" max="2" width="22" style="119" customWidth="1"/>
    <col min="3" max="3" width="22" style="133" customWidth="1"/>
    <col min="4" max="5" width="9.140625" style="119"/>
    <col min="6" max="6" width="16.42578125" style="119" customWidth="1"/>
    <col min="7" max="7" width="39.85546875" style="119" customWidth="1"/>
    <col min="8" max="8" width="19.85546875" style="169" customWidth="1"/>
    <col min="9" max="9" width="16" style="119" customWidth="1"/>
    <col min="10" max="10" width="17.28515625" style="85" customWidth="1"/>
    <col min="11" max="11" width="19.5703125" style="85" customWidth="1"/>
    <col min="12" max="12" width="11.28515625" style="86" customWidth="1"/>
    <col min="13" max="13" width="9.140625" style="85"/>
    <col min="14" max="16" width="9.140625" style="16"/>
    <col min="17" max="17" width="11" style="129" bestFit="1" customWidth="1"/>
    <col min="18" max="18" width="13" style="16" customWidth="1"/>
    <col min="19" max="19" width="18" style="14" customWidth="1"/>
  </cols>
  <sheetData>
    <row r="1" spans="1:23" ht="31.5">
      <c r="A1" s="2" t="s">
        <v>0</v>
      </c>
      <c r="B1" s="2" t="s">
        <v>23</v>
      </c>
      <c r="C1" s="2" t="s">
        <v>52</v>
      </c>
      <c r="D1" s="3" t="s">
        <v>1</v>
      </c>
      <c r="E1" s="3" t="s">
        <v>2</v>
      </c>
      <c r="F1" s="3" t="s">
        <v>3</v>
      </c>
      <c r="G1" s="3" t="s">
        <v>4</v>
      </c>
      <c r="H1" s="168" t="s">
        <v>5</v>
      </c>
      <c r="I1" s="3" t="s">
        <v>6</v>
      </c>
      <c r="J1" s="4" t="s">
        <v>7</v>
      </c>
      <c r="K1" s="4" t="s">
        <v>17</v>
      </c>
      <c r="L1" s="17" t="s">
        <v>8</v>
      </c>
      <c r="M1" s="4" t="s">
        <v>63</v>
      </c>
      <c r="N1" s="113">
        <v>0.5</v>
      </c>
      <c r="O1" s="114">
        <v>0.2</v>
      </c>
      <c r="P1" s="115">
        <v>0.25</v>
      </c>
      <c r="Q1" s="128" t="s">
        <v>270</v>
      </c>
      <c r="R1" s="111" t="s">
        <v>18</v>
      </c>
      <c r="S1" s="19" t="s">
        <v>19</v>
      </c>
      <c r="T1" s="25" t="s">
        <v>53</v>
      </c>
      <c r="U1" s="26"/>
      <c r="V1" s="26"/>
    </row>
    <row r="2" spans="1:23">
      <c r="A2" s="24" t="s">
        <v>237</v>
      </c>
      <c r="B2" s="119" t="s">
        <v>274</v>
      </c>
      <c r="C2" s="133">
        <v>4</v>
      </c>
      <c r="D2" s="119">
        <v>60</v>
      </c>
      <c r="E2" s="119">
        <v>1</v>
      </c>
      <c r="F2" s="132" t="s">
        <v>275</v>
      </c>
      <c r="G2" s="119" t="s">
        <v>277</v>
      </c>
      <c r="H2" s="169" t="s">
        <v>334</v>
      </c>
      <c r="J2" s="85">
        <v>4.33</v>
      </c>
      <c r="M2" s="85">
        <v>2.6</v>
      </c>
      <c r="N2" s="16">
        <f>4.33-2.6</f>
        <v>1.73</v>
      </c>
    </row>
    <row r="3" spans="1:23">
      <c r="C3" s="162">
        <v>4</v>
      </c>
      <c r="D3" s="119">
        <v>60</v>
      </c>
      <c r="E3" s="119">
        <v>1</v>
      </c>
      <c r="F3" s="119">
        <v>470353</v>
      </c>
      <c r="G3" s="119" t="s">
        <v>278</v>
      </c>
      <c r="H3" s="170" t="s">
        <v>54</v>
      </c>
      <c r="J3" s="85">
        <v>4.33</v>
      </c>
      <c r="M3" s="85">
        <v>2.6</v>
      </c>
      <c r="N3" s="16">
        <f t="shared" ref="N3:N4" si="0">4.33-2.6</f>
        <v>1.73</v>
      </c>
      <c r="T3" s="163"/>
      <c r="U3" s="164"/>
      <c r="V3" s="164"/>
      <c r="W3" s="165"/>
    </row>
    <row r="4" spans="1:23">
      <c r="C4" s="162">
        <v>4</v>
      </c>
      <c r="D4" s="119">
        <v>60</v>
      </c>
      <c r="E4" s="119">
        <v>1</v>
      </c>
      <c r="F4" s="132" t="s">
        <v>276</v>
      </c>
      <c r="G4" s="119" t="s">
        <v>279</v>
      </c>
      <c r="H4" s="170" t="s">
        <v>54</v>
      </c>
      <c r="J4" s="85">
        <v>4.33</v>
      </c>
      <c r="M4" s="85">
        <v>2.6</v>
      </c>
      <c r="N4" s="16">
        <f t="shared" si="0"/>
        <v>1.73</v>
      </c>
      <c r="O4" s="121"/>
    </row>
    <row r="5" spans="1:23">
      <c r="C5" s="133">
        <v>5</v>
      </c>
      <c r="D5" s="119">
        <v>119</v>
      </c>
      <c r="E5" s="119">
        <v>1</v>
      </c>
      <c r="F5" s="119">
        <v>318003</v>
      </c>
      <c r="G5" s="133" t="s">
        <v>298</v>
      </c>
      <c r="H5" s="170" t="s">
        <v>54</v>
      </c>
      <c r="J5" s="85">
        <v>22.5</v>
      </c>
      <c r="K5" s="85">
        <v>0.75</v>
      </c>
      <c r="L5" s="86">
        <f>SUM(J2:K5)</f>
        <v>36.24</v>
      </c>
      <c r="M5" s="120">
        <v>13.5</v>
      </c>
      <c r="N5" s="121">
        <f>22.5-13.5</f>
        <v>9</v>
      </c>
      <c r="O5" s="121"/>
      <c r="R5" s="16">
        <v>23.73</v>
      </c>
      <c r="S5" s="14">
        <v>4909</v>
      </c>
    </row>
    <row r="6" spans="1:23">
      <c r="A6" s="133"/>
      <c r="B6" s="133"/>
      <c r="D6" s="133"/>
      <c r="E6" s="133"/>
      <c r="F6" s="133"/>
      <c r="G6" s="133"/>
      <c r="I6" s="133"/>
      <c r="M6" s="121"/>
      <c r="N6" s="121"/>
      <c r="O6" s="121"/>
      <c r="R6" s="16">
        <v>5</v>
      </c>
      <c r="S6" s="14">
        <v>416281</v>
      </c>
    </row>
    <row r="7" spans="1:23">
      <c r="B7" s="119" t="s">
        <v>280</v>
      </c>
      <c r="C7" s="133">
        <v>4</v>
      </c>
      <c r="D7" s="119">
        <v>32</v>
      </c>
      <c r="E7" s="119">
        <v>1</v>
      </c>
      <c r="F7" s="119">
        <v>342944</v>
      </c>
      <c r="G7" s="119" t="s">
        <v>281</v>
      </c>
      <c r="H7" s="170" t="s">
        <v>54</v>
      </c>
      <c r="J7" s="85">
        <v>6.5</v>
      </c>
      <c r="M7" s="85">
        <v>3.9</v>
      </c>
      <c r="N7" s="16">
        <f>6.5-M7</f>
        <v>2.6</v>
      </c>
      <c r="O7" s="121"/>
    </row>
    <row r="8" spans="1:23">
      <c r="C8" s="162">
        <v>4</v>
      </c>
      <c r="D8" s="119">
        <v>32</v>
      </c>
      <c r="E8" s="119">
        <v>1</v>
      </c>
      <c r="F8" s="119">
        <v>343094</v>
      </c>
      <c r="G8" s="119" t="s">
        <v>282</v>
      </c>
      <c r="H8" s="170" t="s">
        <v>54</v>
      </c>
      <c r="J8" s="85">
        <v>1.99</v>
      </c>
      <c r="K8" s="85">
        <v>0.75</v>
      </c>
      <c r="L8" s="86">
        <f>J7+J8+K8</f>
        <v>9.24</v>
      </c>
      <c r="M8" s="85">
        <v>1.19</v>
      </c>
      <c r="N8" s="121">
        <f>1.99-M8</f>
        <v>0.8</v>
      </c>
      <c r="O8" s="121"/>
      <c r="R8" s="16">
        <v>219.82</v>
      </c>
      <c r="S8" s="14">
        <v>416617</v>
      </c>
    </row>
    <row r="9" spans="1:23">
      <c r="N9" s="121"/>
      <c r="O9" s="121"/>
    </row>
    <row r="10" spans="1:23">
      <c r="B10" s="119" t="s">
        <v>135</v>
      </c>
      <c r="D10" s="162" t="s">
        <v>324</v>
      </c>
      <c r="E10" s="119">
        <v>2</v>
      </c>
      <c r="F10" s="119">
        <v>490161</v>
      </c>
      <c r="G10" s="119" t="s">
        <v>283</v>
      </c>
      <c r="H10" s="170" t="s">
        <v>54</v>
      </c>
      <c r="J10" s="85">
        <f>6.99*E10</f>
        <v>13.98</v>
      </c>
      <c r="M10" s="85">
        <v>8.39</v>
      </c>
      <c r="N10" s="121">
        <f>13.98-M10</f>
        <v>5.59</v>
      </c>
      <c r="O10" s="121"/>
      <c r="R10" s="16">
        <v>18.579999999999998</v>
      </c>
      <c r="S10" s="14">
        <v>416159</v>
      </c>
    </row>
    <row r="11" spans="1:23">
      <c r="D11" s="119">
        <v>96</v>
      </c>
      <c r="E11" s="119">
        <v>1</v>
      </c>
      <c r="F11" s="119">
        <v>8422</v>
      </c>
      <c r="G11" s="119" t="s">
        <v>284</v>
      </c>
      <c r="H11" s="171" t="s">
        <v>54</v>
      </c>
      <c r="J11" s="85">
        <v>3.89</v>
      </c>
      <c r="K11" s="85">
        <v>0.75</v>
      </c>
      <c r="L11" s="86">
        <f>J10+J11+K11</f>
        <v>18.62</v>
      </c>
      <c r="N11" s="121"/>
      <c r="O11" s="121"/>
      <c r="T11" s="31">
        <f>S16-L40</f>
        <v>30.139999999999958</v>
      </c>
    </row>
    <row r="12" spans="1:23">
      <c r="N12" s="121"/>
      <c r="O12" s="121"/>
      <c r="V12" s="231"/>
      <c r="W12" s="231"/>
    </row>
    <row r="13" spans="1:23" s="152" customFormat="1">
      <c r="A13" s="146"/>
      <c r="B13" s="146" t="s">
        <v>118</v>
      </c>
      <c r="C13" s="146"/>
      <c r="D13" s="146"/>
      <c r="E13" s="146"/>
      <c r="F13" s="146"/>
      <c r="G13" s="146"/>
      <c r="H13" s="174"/>
      <c r="I13" s="146"/>
      <c r="J13" s="147"/>
      <c r="K13" s="147"/>
      <c r="L13" s="148"/>
      <c r="M13" s="147"/>
      <c r="N13" s="149"/>
      <c r="O13" s="149"/>
      <c r="P13" s="153"/>
      <c r="Q13" s="154"/>
      <c r="R13" s="153"/>
      <c r="S13" s="155"/>
    </row>
    <row r="14" spans="1:23">
      <c r="D14" s="162" t="s">
        <v>324</v>
      </c>
      <c r="E14" s="119">
        <v>1</v>
      </c>
      <c r="F14" s="119">
        <v>232604</v>
      </c>
      <c r="G14" s="119" t="s">
        <v>285</v>
      </c>
      <c r="H14" s="170" t="s">
        <v>54</v>
      </c>
      <c r="J14" s="85">
        <v>5.99</v>
      </c>
      <c r="M14" s="85">
        <v>3.59</v>
      </c>
      <c r="N14" s="121">
        <f>5.99-M14</f>
        <v>2.4000000000000004</v>
      </c>
      <c r="O14" s="121"/>
    </row>
    <row r="15" spans="1:23">
      <c r="D15" s="119">
        <v>124</v>
      </c>
      <c r="E15" s="119">
        <v>1</v>
      </c>
      <c r="F15" s="119">
        <v>877441</v>
      </c>
      <c r="G15" s="133" t="s">
        <v>292</v>
      </c>
      <c r="H15" s="170" t="s">
        <v>54</v>
      </c>
      <c r="J15" s="85">
        <v>19.989999999999998</v>
      </c>
      <c r="M15" s="122">
        <v>15.99</v>
      </c>
      <c r="N15" s="121">
        <f>19.99-15.99</f>
        <v>3.9999999999999982</v>
      </c>
      <c r="O15" s="123"/>
      <c r="P15" s="123"/>
      <c r="Q15" s="130"/>
    </row>
    <row r="16" spans="1:23">
      <c r="A16" s="133"/>
      <c r="B16" s="133"/>
      <c r="D16" s="133">
        <v>63</v>
      </c>
      <c r="E16" s="133">
        <v>1</v>
      </c>
      <c r="F16" s="133">
        <v>172590</v>
      </c>
      <c r="G16" s="133" t="s">
        <v>293</v>
      </c>
      <c r="H16" s="170" t="s">
        <v>54</v>
      </c>
      <c r="I16" s="133"/>
      <c r="J16" s="85">
        <v>9.99</v>
      </c>
      <c r="M16" s="121">
        <v>5.99</v>
      </c>
      <c r="N16" s="135">
        <f>9.99-5.99</f>
        <v>4</v>
      </c>
      <c r="O16" s="121"/>
      <c r="P16" s="121"/>
      <c r="Q16" s="130"/>
      <c r="R16" s="121"/>
      <c r="S16" s="134">
        <f>SUM(R5:R10)</f>
        <v>267.13</v>
      </c>
    </row>
    <row r="17" spans="1:25">
      <c r="A17" s="133"/>
      <c r="B17" s="133"/>
      <c r="D17" s="133">
        <v>132</v>
      </c>
      <c r="E17" s="133">
        <v>1</v>
      </c>
      <c r="F17" s="133">
        <v>414800</v>
      </c>
      <c r="G17" s="133" t="s">
        <v>293</v>
      </c>
      <c r="H17" s="170" t="s">
        <v>54</v>
      </c>
      <c r="I17" s="133"/>
      <c r="J17" s="85">
        <v>7.99</v>
      </c>
      <c r="M17" s="121">
        <v>4.79</v>
      </c>
      <c r="N17" s="121">
        <f>7.99-M17</f>
        <v>3.2</v>
      </c>
      <c r="O17" s="121"/>
      <c r="P17" s="121"/>
      <c r="Q17" s="130"/>
      <c r="R17" s="121"/>
      <c r="S17" s="134"/>
    </row>
    <row r="18" spans="1:25">
      <c r="A18" s="133"/>
      <c r="B18" s="133"/>
      <c r="D18" s="133">
        <v>134</v>
      </c>
      <c r="E18" s="133">
        <v>1</v>
      </c>
      <c r="F18" s="133">
        <v>352076</v>
      </c>
      <c r="G18" s="133" t="s">
        <v>294</v>
      </c>
      <c r="H18" s="170" t="s">
        <v>54</v>
      </c>
      <c r="I18" s="133"/>
      <c r="J18" s="85">
        <v>5.99</v>
      </c>
      <c r="M18" s="121">
        <v>3.59</v>
      </c>
      <c r="N18" s="121">
        <f>5.99-M18</f>
        <v>2.4000000000000004</v>
      </c>
      <c r="O18" s="121"/>
      <c r="P18" s="121"/>
      <c r="Q18" s="130"/>
      <c r="R18" s="121"/>
      <c r="S18" s="134"/>
      <c r="U18" s="164"/>
      <c r="V18" s="164"/>
      <c r="W18" s="229"/>
      <c r="X18" s="229"/>
      <c r="Y18" s="229"/>
    </row>
    <row r="19" spans="1:25">
      <c r="A19" s="133"/>
      <c r="B19" s="133"/>
      <c r="D19" s="133">
        <v>61</v>
      </c>
      <c r="E19" s="133">
        <v>1</v>
      </c>
      <c r="F19" s="133">
        <v>189425</v>
      </c>
      <c r="G19" s="133" t="s">
        <v>295</v>
      </c>
      <c r="H19" s="170" t="s">
        <v>54</v>
      </c>
      <c r="I19" s="133"/>
      <c r="J19" s="85">
        <v>7.99</v>
      </c>
      <c r="M19" s="121">
        <v>4.79</v>
      </c>
      <c r="N19" s="121">
        <f>7.99-M19</f>
        <v>3.2</v>
      </c>
      <c r="O19" s="121"/>
      <c r="P19" s="121"/>
      <c r="Q19" s="130"/>
      <c r="R19" s="121"/>
      <c r="S19" s="134"/>
      <c r="U19" s="166"/>
      <c r="V19" s="166"/>
      <c r="W19" s="166"/>
      <c r="X19" s="166"/>
      <c r="Y19" s="166"/>
    </row>
    <row r="20" spans="1:25">
      <c r="A20" s="133"/>
      <c r="B20" s="133"/>
      <c r="D20" s="133">
        <v>152</v>
      </c>
      <c r="E20" s="133">
        <v>1</v>
      </c>
      <c r="F20" s="133">
        <v>633751</v>
      </c>
      <c r="G20" s="133" t="s">
        <v>296</v>
      </c>
      <c r="H20" s="170" t="s">
        <v>54</v>
      </c>
      <c r="I20" s="133"/>
      <c r="J20" s="85">
        <v>12</v>
      </c>
      <c r="M20" s="121">
        <v>9.99</v>
      </c>
      <c r="N20" s="121">
        <f>12-M20</f>
        <v>2.0099999999999998</v>
      </c>
      <c r="O20" s="121"/>
      <c r="P20" s="121"/>
      <c r="Q20" s="130"/>
      <c r="R20" s="121"/>
      <c r="S20" s="134"/>
      <c r="V20" s="31"/>
    </row>
    <row r="21" spans="1:25" s="152" customFormat="1">
      <c r="A21" s="146"/>
      <c r="B21" s="146"/>
      <c r="C21" s="146"/>
      <c r="D21" s="146">
        <v>140</v>
      </c>
      <c r="E21" s="146">
        <v>1</v>
      </c>
      <c r="F21" s="146">
        <v>481888</v>
      </c>
      <c r="G21" s="146" t="s">
        <v>297</v>
      </c>
      <c r="H21" s="175" t="s">
        <v>54</v>
      </c>
      <c r="I21" s="146"/>
      <c r="J21" s="147">
        <v>6</v>
      </c>
      <c r="K21" s="147"/>
      <c r="L21" s="148"/>
      <c r="M21" s="149">
        <v>3.6</v>
      </c>
      <c r="N21" s="149">
        <f>6-3.6</f>
        <v>2.4</v>
      </c>
      <c r="O21" s="149"/>
      <c r="P21" s="149"/>
      <c r="Q21" s="150"/>
      <c r="R21" s="149"/>
      <c r="S21" s="151"/>
    </row>
    <row r="22" spans="1:25">
      <c r="A22" s="133"/>
      <c r="B22" s="133"/>
      <c r="D22" s="133">
        <v>20</v>
      </c>
      <c r="E22" s="133">
        <v>1</v>
      </c>
      <c r="F22" s="133">
        <v>473443</v>
      </c>
      <c r="G22" s="144" t="s">
        <v>309</v>
      </c>
      <c r="H22" s="170" t="s">
        <v>54</v>
      </c>
      <c r="I22" s="133"/>
      <c r="J22" s="85">
        <v>4.99</v>
      </c>
      <c r="M22" s="121">
        <v>4.1900000000000004</v>
      </c>
      <c r="N22" s="121">
        <f>4.99-M22</f>
        <v>0.79999999999999982</v>
      </c>
      <c r="O22" s="121"/>
      <c r="P22" s="121"/>
      <c r="Q22" s="130"/>
      <c r="R22" s="121"/>
      <c r="S22" s="134"/>
    </row>
    <row r="23" spans="1:25">
      <c r="A23" s="144"/>
      <c r="B23" s="144"/>
      <c r="C23" s="144"/>
      <c r="D23" s="119">
        <v>20</v>
      </c>
      <c r="E23" s="144">
        <v>1</v>
      </c>
      <c r="F23" s="144">
        <v>471527</v>
      </c>
      <c r="G23" s="144" t="s">
        <v>309</v>
      </c>
      <c r="H23" s="170" t="s">
        <v>54</v>
      </c>
      <c r="I23" s="144"/>
      <c r="J23" s="85">
        <v>4.99</v>
      </c>
      <c r="M23" s="121">
        <v>4.1900000000000004</v>
      </c>
      <c r="N23" s="121">
        <f t="shared" ref="N23:N24" si="1">4.99-M23</f>
        <v>0.79999999999999982</v>
      </c>
      <c r="O23" s="121"/>
      <c r="P23" s="121"/>
      <c r="Q23" s="130"/>
      <c r="R23" s="121"/>
      <c r="S23" s="134"/>
    </row>
    <row r="24" spans="1:25">
      <c r="A24" s="144"/>
      <c r="B24" s="144"/>
      <c r="C24" s="144"/>
      <c r="D24" s="144">
        <v>20</v>
      </c>
      <c r="E24" s="144">
        <v>1</v>
      </c>
      <c r="F24" s="132" t="s">
        <v>310</v>
      </c>
      <c r="G24" s="144" t="s">
        <v>311</v>
      </c>
      <c r="H24" s="170" t="s">
        <v>54</v>
      </c>
      <c r="I24" s="144"/>
      <c r="J24" s="85">
        <v>4.99</v>
      </c>
      <c r="M24" s="121">
        <v>4.1900000000000004</v>
      </c>
      <c r="N24" s="121">
        <f t="shared" si="1"/>
        <v>0.79999999999999982</v>
      </c>
      <c r="O24" s="121"/>
      <c r="P24" s="121"/>
      <c r="Q24" s="130"/>
      <c r="R24" s="121"/>
      <c r="S24" s="134"/>
    </row>
    <row r="25" spans="1:25" s="166" customFormat="1">
      <c r="A25" s="173"/>
      <c r="B25" s="173"/>
      <c r="C25" s="173"/>
      <c r="D25" s="173">
        <v>21</v>
      </c>
      <c r="E25" s="173">
        <v>1</v>
      </c>
      <c r="F25" s="173">
        <v>234478</v>
      </c>
      <c r="G25" s="173" t="s">
        <v>312</v>
      </c>
      <c r="H25" s="170" t="s">
        <v>54</v>
      </c>
      <c r="I25" s="173"/>
      <c r="J25" s="172">
        <v>3.99</v>
      </c>
      <c r="K25" s="172"/>
      <c r="L25" s="117"/>
      <c r="M25" s="172">
        <v>2.6</v>
      </c>
      <c r="N25" s="165">
        <f>4.33-2.6</f>
        <v>1.73</v>
      </c>
      <c r="O25" s="164"/>
      <c r="P25" s="164"/>
      <c r="Q25" s="178"/>
      <c r="R25" s="164"/>
      <c r="S25" s="142"/>
    </row>
    <row r="26" spans="1:25" s="166" customFormat="1">
      <c r="A26" s="173"/>
      <c r="B26" s="173"/>
      <c r="C26" s="173"/>
      <c r="D26" s="173">
        <v>21</v>
      </c>
      <c r="E26" s="173">
        <v>1</v>
      </c>
      <c r="F26" s="173">
        <v>234391</v>
      </c>
      <c r="G26" s="173" t="s">
        <v>312</v>
      </c>
      <c r="H26" s="170" t="s">
        <v>54</v>
      </c>
      <c r="I26" s="173"/>
      <c r="J26" s="172">
        <v>3.99</v>
      </c>
      <c r="K26" s="172"/>
      <c r="L26" s="117"/>
      <c r="M26" s="172">
        <v>2.6</v>
      </c>
      <c r="N26" s="165">
        <f>4.33-2.6</f>
        <v>1.73</v>
      </c>
      <c r="O26" s="164"/>
      <c r="P26" s="164"/>
      <c r="Q26" s="178"/>
      <c r="R26" s="164"/>
      <c r="S26" s="142"/>
    </row>
    <row r="27" spans="1:25">
      <c r="A27" s="144"/>
      <c r="B27" s="144"/>
      <c r="C27" s="144"/>
      <c r="D27" s="144">
        <v>39</v>
      </c>
      <c r="E27" s="144">
        <v>3</v>
      </c>
      <c r="F27" s="144">
        <v>870432</v>
      </c>
      <c r="G27" s="144" t="s">
        <v>313</v>
      </c>
      <c r="H27" s="170" t="s">
        <v>54</v>
      </c>
      <c r="I27" s="169" t="s">
        <v>314</v>
      </c>
      <c r="J27" s="85">
        <v>8.99</v>
      </c>
      <c r="M27" s="121">
        <v>5.39</v>
      </c>
      <c r="N27" s="121">
        <f>8.99-M27</f>
        <v>3.6000000000000005</v>
      </c>
      <c r="O27" s="121"/>
      <c r="P27" s="121"/>
      <c r="Q27" s="130"/>
      <c r="R27" s="121"/>
      <c r="S27" s="134"/>
    </row>
    <row r="28" spans="1:25">
      <c r="A28" s="144"/>
      <c r="B28" s="144"/>
      <c r="C28" s="144"/>
      <c r="D28" s="144">
        <v>39</v>
      </c>
      <c r="E28" s="144">
        <v>1</v>
      </c>
      <c r="F28" s="144">
        <v>870432</v>
      </c>
      <c r="G28" s="144" t="s">
        <v>313</v>
      </c>
      <c r="I28" s="169" t="s">
        <v>314</v>
      </c>
      <c r="J28" s="143"/>
      <c r="K28" s="143"/>
      <c r="M28" s="121">
        <v>5.39</v>
      </c>
      <c r="N28" s="121">
        <f>8.99-M28</f>
        <v>3.6000000000000005</v>
      </c>
      <c r="O28" s="164"/>
      <c r="P28" s="121"/>
      <c r="Q28" s="130"/>
      <c r="R28" s="121"/>
      <c r="S28" s="134"/>
    </row>
    <row r="29" spans="1:25">
      <c r="A29" s="144"/>
      <c r="B29" s="144"/>
      <c r="C29" s="144"/>
      <c r="D29" s="144">
        <v>38</v>
      </c>
      <c r="E29" s="144">
        <v>1</v>
      </c>
      <c r="F29" s="144" t="s">
        <v>174</v>
      </c>
      <c r="G29" s="144" t="s">
        <v>315</v>
      </c>
      <c r="H29" s="170"/>
      <c r="I29" s="169" t="s">
        <v>316</v>
      </c>
      <c r="J29" s="143">
        <v>0</v>
      </c>
      <c r="K29" s="143"/>
      <c r="M29" s="121"/>
      <c r="N29" s="121"/>
      <c r="O29" s="121"/>
      <c r="P29" s="121"/>
      <c r="Q29" s="130"/>
      <c r="R29" s="121"/>
      <c r="S29" s="134"/>
    </row>
    <row r="30" spans="1:25">
      <c r="A30" s="144"/>
      <c r="B30" s="144"/>
      <c r="C30" s="144"/>
      <c r="D30" s="144"/>
      <c r="E30" s="144">
        <v>1</v>
      </c>
      <c r="F30" s="132" t="s">
        <v>319</v>
      </c>
      <c r="G30" s="144" t="s">
        <v>320</v>
      </c>
      <c r="H30" s="170" t="s">
        <v>54</v>
      </c>
      <c r="I30" s="144"/>
      <c r="J30" s="143">
        <v>9</v>
      </c>
      <c r="K30" s="160"/>
      <c r="M30" s="121">
        <v>5.4</v>
      </c>
      <c r="N30" s="121">
        <f>9-M30</f>
        <v>3.5999999999999996</v>
      </c>
      <c r="O30" s="121"/>
      <c r="P30" s="121"/>
      <c r="Q30" s="130"/>
      <c r="R30" s="121"/>
      <c r="S30" s="134"/>
    </row>
    <row r="31" spans="1:25">
      <c r="A31" s="144"/>
      <c r="B31" s="144"/>
      <c r="C31" s="144"/>
      <c r="D31" s="144"/>
      <c r="E31" s="144">
        <v>1</v>
      </c>
      <c r="F31" s="132" t="s">
        <v>321</v>
      </c>
      <c r="G31" s="144" t="s">
        <v>320</v>
      </c>
      <c r="H31" s="170" t="s">
        <v>54</v>
      </c>
      <c r="I31" s="144"/>
      <c r="J31" s="143">
        <v>1.99</v>
      </c>
      <c r="K31" s="143"/>
      <c r="M31" s="85">
        <v>1.19</v>
      </c>
      <c r="N31" s="121">
        <f>1.99-M31</f>
        <v>0.8</v>
      </c>
      <c r="O31" s="121"/>
      <c r="P31" s="121"/>
      <c r="Q31" s="130"/>
      <c r="R31" s="121"/>
      <c r="S31" s="134"/>
    </row>
    <row r="32" spans="1:25">
      <c r="A32" s="144"/>
      <c r="B32" s="144"/>
      <c r="C32" s="144"/>
      <c r="D32" s="144"/>
      <c r="E32" s="144"/>
      <c r="F32" s="144">
        <v>927960</v>
      </c>
      <c r="G32" s="144" t="s">
        <v>322</v>
      </c>
      <c r="H32" s="170" t="s">
        <v>54</v>
      </c>
      <c r="I32" s="144"/>
      <c r="J32" s="143">
        <v>0.79</v>
      </c>
      <c r="K32" s="143"/>
      <c r="M32" s="121">
        <v>0.47</v>
      </c>
      <c r="N32" s="121">
        <f>0.79-M32</f>
        <v>0.32000000000000006</v>
      </c>
      <c r="O32" s="121"/>
      <c r="P32" s="121"/>
      <c r="Q32" s="130"/>
      <c r="R32" s="121"/>
      <c r="S32" s="134"/>
    </row>
    <row r="33" spans="1:20">
      <c r="A33" s="144"/>
      <c r="B33" s="144"/>
      <c r="C33" s="144"/>
      <c r="D33" s="144"/>
      <c r="E33" s="144"/>
      <c r="F33" s="144">
        <v>927974</v>
      </c>
      <c r="G33" s="144" t="s">
        <v>322</v>
      </c>
      <c r="H33" s="170" t="s">
        <v>54</v>
      </c>
      <c r="I33" s="144"/>
      <c r="J33" s="143">
        <v>0.79</v>
      </c>
      <c r="K33" s="143"/>
      <c r="M33" s="121">
        <v>0.47</v>
      </c>
      <c r="N33" s="121">
        <f>0.79-M33</f>
        <v>0.32000000000000006</v>
      </c>
      <c r="O33" s="121"/>
      <c r="P33" s="121"/>
      <c r="Q33" s="130"/>
      <c r="R33" s="121"/>
      <c r="S33" s="134"/>
    </row>
    <row r="34" spans="1:20">
      <c r="A34" s="144"/>
      <c r="B34" s="144"/>
      <c r="C34" s="144"/>
      <c r="D34" s="144">
        <v>40</v>
      </c>
      <c r="E34" s="144">
        <v>2</v>
      </c>
      <c r="F34" s="144">
        <v>542329</v>
      </c>
      <c r="G34" s="144" t="s">
        <v>317</v>
      </c>
      <c r="H34" s="170" t="s">
        <v>54</v>
      </c>
      <c r="I34" s="144" t="s">
        <v>318</v>
      </c>
      <c r="J34" s="172">
        <f>22.5</f>
        <v>22.5</v>
      </c>
      <c r="K34" s="143"/>
      <c r="M34" s="121">
        <v>13.5</v>
      </c>
      <c r="N34" s="121">
        <f>22.5-M34</f>
        <v>9</v>
      </c>
      <c r="O34" s="121"/>
      <c r="P34" s="121"/>
      <c r="Q34" s="130"/>
      <c r="R34" s="121"/>
      <c r="S34" s="134"/>
    </row>
    <row r="35" spans="1:20">
      <c r="A35" s="144"/>
      <c r="B35" s="144"/>
      <c r="C35" s="144"/>
      <c r="D35" s="144"/>
      <c r="E35" s="144">
        <v>1</v>
      </c>
      <c r="F35" s="144">
        <v>418088</v>
      </c>
      <c r="G35" s="144" t="s">
        <v>323</v>
      </c>
      <c r="H35" s="170" t="s">
        <v>54</v>
      </c>
      <c r="I35" s="144"/>
      <c r="J35" s="143">
        <v>3.99</v>
      </c>
      <c r="K35" s="143"/>
      <c r="M35" s="121">
        <v>2.39</v>
      </c>
      <c r="N35" s="121">
        <f>3.99-M35</f>
        <v>1.6</v>
      </c>
      <c r="O35" s="121"/>
      <c r="P35" s="121"/>
      <c r="Q35" s="130"/>
      <c r="R35" s="121"/>
      <c r="S35" s="134"/>
    </row>
    <row r="36" spans="1:20">
      <c r="A36" s="144"/>
      <c r="B36" s="144"/>
      <c r="C36" s="144"/>
      <c r="D36" s="144" t="s">
        <v>324</v>
      </c>
      <c r="E36" s="144">
        <v>2</v>
      </c>
      <c r="F36" s="144">
        <v>991499</v>
      </c>
      <c r="G36" s="144" t="s">
        <v>325</v>
      </c>
      <c r="H36" s="170" t="s">
        <v>54</v>
      </c>
      <c r="I36" s="144"/>
      <c r="J36" s="143">
        <f>5.99*E36</f>
        <v>11.98</v>
      </c>
      <c r="K36" s="143"/>
      <c r="M36" s="121">
        <v>7.19</v>
      </c>
      <c r="N36" s="121">
        <f>11.98-M36</f>
        <v>4.79</v>
      </c>
      <c r="O36" s="121"/>
      <c r="P36" s="121"/>
      <c r="Q36" s="130"/>
      <c r="R36" s="121"/>
      <c r="S36" s="134"/>
    </row>
    <row r="37" spans="1:20">
      <c r="A37" s="144"/>
      <c r="B37" s="144"/>
      <c r="C37" s="144">
        <v>5</v>
      </c>
      <c r="D37" s="144">
        <v>61</v>
      </c>
      <c r="E37" s="144">
        <v>2</v>
      </c>
      <c r="F37" s="132" t="s">
        <v>305</v>
      </c>
      <c r="G37" s="144" t="s">
        <v>326</v>
      </c>
      <c r="H37" s="170" t="s">
        <v>54</v>
      </c>
      <c r="I37" s="144"/>
      <c r="J37" s="143">
        <v>7.99</v>
      </c>
      <c r="K37" s="143"/>
      <c r="M37" s="121">
        <v>2.39</v>
      </c>
      <c r="N37" s="121">
        <f>3.98-M37</f>
        <v>1.5899999999999999</v>
      </c>
      <c r="O37" s="121"/>
      <c r="P37" s="121"/>
      <c r="Q37" s="130"/>
      <c r="R37" s="121"/>
      <c r="S37" s="134"/>
    </row>
    <row r="38" spans="1:20">
      <c r="A38" s="144"/>
      <c r="B38" s="144"/>
      <c r="C38" s="144"/>
      <c r="D38" s="119">
        <v>61</v>
      </c>
      <c r="E38" s="144">
        <v>1</v>
      </c>
      <c r="F38" s="144">
        <v>349346</v>
      </c>
      <c r="G38" s="144" t="s">
        <v>327</v>
      </c>
      <c r="H38" s="170" t="s">
        <v>54</v>
      </c>
      <c r="I38" s="144"/>
      <c r="J38" s="85">
        <v>2.99</v>
      </c>
      <c r="M38" s="121">
        <v>1.98</v>
      </c>
      <c r="N38" s="121">
        <f>2.99-M38</f>
        <v>1.0100000000000002</v>
      </c>
      <c r="O38" s="121"/>
      <c r="P38" s="121"/>
      <c r="Q38" s="130"/>
      <c r="R38" s="121"/>
      <c r="S38" s="134"/>
    </row>
    <row r="39" spans="1:20">
      <c r="A39" s="144"/>
      <c r="B39" s="144"/>
      <c r="C39" s="144"/>
      <c r="D39" s="144">
        <v>61</v>
      </c>
      <c r="E39" s="144">
        <v>1</v>
      </c>
      <c r="F39" s="144">
        <v>449378</v>
      </c>
      <c r="G39" s="144" t="s">
        <v>327</v>
      </c>
      <c r="I39" s="144"/>
      <c r="J39" s="85">
        <v>2.99</v>
      </c>
      <c r="M39" s="121">
        <v>1.98</v>
      </c>
      <c r="N39" s="121">
        <f>2.99-M39</f>
        <v>1.0100000000000002</v>
      </c>
      <c r="O39" s="121"/>
      <c r="P39" s="121"/>
      <c r="Q39" s="130"/>
      <c r="R39" s="121"/>
      <c r="S39" s="134"/>
    </row>
    <row r="40" spans="1:20">
      <c r="A40" s="144"/>
      <c r="B40" s="144"/>
      <c r="C40" s="144"/>
      <c r="D40" s="144"/>
      <c r="E40" s="144"/>
      <c r="F40" s="144"/>
      <c r="G40" s="144"/>
      <c r="I40" s="144"/>
      <c r="J40" s="230" t="s">
        <v>328</v>
      </c>
      <c r="K40" s="230"/>
      <c r="L40" s="156">
        <f>SUM(J2:K39)</f>
        <v>236.99000000000004</v>
      </c>
      <c r="M40" s="121"/>
      <c r="N40" s="121"/>
      <c r="O40" s="121"/>
      <c r="P40" s="121"/>
      <c r="Q40" s="130"/>
      <c r="R40" s="121"/>
      <c r="S40" s="134"/>
    </row>
    <row r="41" spans="1:20">
      <c r="A41" s="144"/>
      <c r="B41" s="144"/>
      <c r="C41" s="144"/>
      <c r="D41" s="144"/>
      <c r="E41" s="144"/>
      <c r="F41" s="144"/>
      <c r="G41" s="144"/>
      <c r="I41" s="144"/>
      <c r="M41" s="121"/>
      <c r="N41" s="121"/>
      <c r="O41" s="121"/>
      <c r="P41" s="121"/>
      <c r="Q41" s="130"/>
      <c r="R41" s="121"/>
      <c r="S41" s="134"/>
    </row>
    <row r="42" spans="1:20">
      <c r="A42" s="144"/>
      <c r="B42" s="144"/>
      <c r="C42" s="144"/>
      <c r="D42" s="144"/>
      <c r="E42" s="144"/>
      <c r="F42" s="144"/>
      <c r="G42" s="144"/>
      <c r="I42" s="144"/>
      <c r="M42" s="121"/>
      <c r="N42" s="121"/>
      <c r="O42" s="121"/>
      <c r="P42" s="121"/>
      <c r="Q42" s="130"/>
      <c r="R42" s="121"/>
      <c r="S42" s="134"/>
    </row>
    <row r="43" spans="1:20">
      <c r="A43" s="144"/>
      <c r="B43" s="144"/>
      <c r="C43" s="144"/>
      <c r="D43" s="144"/>
      <c r="E43" s="144"/>
      <c r="F43" s="144"/>
      <c r="G43" s="144"/>
      <c r="M43" s="121"/>
      <c r="N43" s="121"/>
      <c r="O43" s="121"/>
      <c r="P43" s="121"/>
      <c r="Q43" s="130"/>
      <c r="R43" s="121"/>
      <c r="S43" s="134"/>
    </row>
    <row r="44" spans="1:20">
      <c r="A44" s="144"/>
      <c r="B44" s="144"/>
      <c r="C44" s="144"/>
      <c r="D44" s="144"/>
      <c r="E44" s="144"/>
      <c r="F44" s="144"/>
      <c r="G44" s="144"/>
      <c r="I44" s="144"/>
      <c r="M44" s="121"/>
      <c r="N44" s="121"/>
      <c r="O44" s="121"/>
      <c r="P44" s="121"/>
      <c r="Q44" s="130"/>
      <c r="R44" s="121"/>
      <c r="S44" s="134"/>
    </row>
    <row r="45" spans="1:20">
      <c r="A45" s="144"/>
      <c r="B45" s="144"/>
      <c r="C45" s="144"/>
      <c r="D45" s="144"/>
      <c r="E45" s="144"/>
      <c r="F45" s="144"/>
      <c r="G45" s="144"/>
      <c r="I45" s="144"/>
      <c r="M45" s="121"/>
      <c r="N45" s="121"/>
      <c r="O45" s="121"/>
      <c r="P45" s="121"/>
      <c r="Q45" s="130"/>
      <c r="R45" s="121"/>
      <c r="S45" s="134"/>
    </row>
    <row r="46" spans="1:20">
      <c r="A46" s="144"/>
      <c r="B46" s="144"/>
      <c r="C46" s="144"/>
      <c r="D46" s="144"/>
      <c r="E46" s="144"/>
      <c r="F46" s="144"/>
      <c r="G46" s="144"/>
      <c r="I46" s="144"/>
      <c r="M46" s="121"/>
      <c r="O46" s="121"/>
      <c r="P46" s="121"/>
      <c r="Q46" s="177">
        <f>SUM(N2:N39)</f>
        <v>83.889999999999986</v>
      </c>
      <c r="R46" s="121"/>
      <c r="S46" s="134"/>
    </row>
    <row r="47" spans="1:20" s="94" customFormat="1" ht="19.5">
      <c r="A47" s="87" t="s">
        <v>255</v>
      </c>
      <c r="B47" s="88" t="s">
        <v>286</v>
      </c>
      <c r="C47" s="88"/>
      <c r="D47" s="89">
        <v>155</v>
      </c>
      <c r="E47" s="89">
        <v>1</v>
      </c>
      <c r="F47" s="89">
        <v>139596</v>
      </c>
      <c r="G47" s="89" t="s">
        <v>289</v>
      </c>
      <c r="H47" s="167" t="s">
        <v>54</v>
      </c>
      <c r="I47" s="89"/>
      <c r="J47" s="90">
        <v>3.99</v>
      </c>
      <c r="K47" s="91"/>
      <c r="L47" s="92"/>
      <c r="M47" s="91">
        <v>2.39</v>
      </c>
      <c r="N47" s="93">
        <f>3.99-M47</f>
        <v>1.6</v>
      </c>
      <c r="O47" s="135"/>
      <c r="P47" s="93"/>
      <c r="Q47" s="131"/>
      <c r="R47" s="112"/>
      <c r="S47" s="95"/>
      <c r="T47" s="96"/>
    </row>
    <row r="48" spans="1:20">
      <c r="D48" s="119">
        <v>146</v>
      </c>
      <c r="E48" s="119">
        <v>1</v>
      </c>
      <c r="F48" s="132" t="s">
        <v>288</v>
      </c>
      <c r="G48" s="119" t="s">
        <v>290</v>
      </c>
      <c r="H48" s="171" t="s">
        <v>54</v>
      </c>
      <c r="J48" s="85">
        <v>7.99</v>
      </c>
      <c r="M48" s="85">
        <v>3.59</v>
      </c>
      <c r="N48" s="16">
        <f>5.99-M48</f>
        <v>2.4000000000000004</v>
      </c>
    </row>
    <row r="49" spans="1:19">
      <c r="D49" s="119">
        <v>145</v>
      </c>
      <c r="E49" s="119">
        <v>1</v>
      </c>
      <c r="F49" s="132" t="s">
        <v>287</v>
      </c>
      <c r="G49" s="119" t="s">
        <v>291</v>
      </c>
      <c r="H49" s="171" t="s">
        <v>54</v>
      </c>
      <c r="J49" s="85">
        <v>12.99</v>
      </c>
      <c r="K49" s="85">
        <v>0.75</v>
      </c>
      <c r="L49" s="86">
        <f>J47+J48+J49+K51+0.75</f>
        <v>25.72</v>
      </c>
      <c r="M49" s="85">
        <v>7.79</v>
      </c>
      <c r="N49" s="16">
        <f>12.99-M49</f>
        <v>5.2</v>
      </c>
      <c r="R49" s="16">
        <v>25.72</v>
      </c>
      <c r="S49" s="14">
        <v>208</v>
      </c>
    </row>
    <row r="51" spans="1:19">
      <c r="Q51" s="176">
        <f>SUM(N47:N49)</f>
        <v>9.1999999999999993</v>
      </c>
    </row>
    <row r="52" spans="1:19" s="94" customFormat="1">
      <c r="A52" s="137" t="s">
        <v>56</v>
      </c>
      <c r="B52" s="138" t="s">
        <v>56</v>
      </c>
      <c r="C52" s="138">
        <v>4</v>
      </c>
      <c r="D52" s="138" t="s">
        <v>299</v>
      </c>
      <c r="E52" s="138">
        <v>1</v>
      </c>
      <c r="F52" s="138">
        <v>202765</v>
      </c>
      <c r="G52" s="138" t="s">
        <v>300</v>
      </c>
      <c r="H52" s="167" t="s">
        <v>54</v>
      </c>
      <c r="I52" s="138"/>
      <c r="J52" s="139">
        <v>2.89</v>
      </c>
      <c r="K52" s="139"/>
      <c r="L52" s="140"/>
      <c r="M52" s="139">
        <v>3.47</v>
      </c>
      <c r="N52" s="112">
        <f>5.78-M52</f>
        <v>2.31</v>
      </c>
      <c r="O52" s="112"/>
      <c r="P52" s="112"/>
      <c r="Q52" s="129"/>
      <c r="R52" s="112"/>
      <c r="S52" s="95"/>
    </row>
    <row r="53" spans="1:19">
      <c r="C53" s="133">
        <v>4</v>
      </c>
      <c r="D53" s="119">
        <v>158</v>
      </c>
      <c r="E53" s="119">
        <v>1</v>
      </c>
      <c r="F53" s="119">
        <v>771809</v>
      </c>
      <c r="G53" s="133" t="s">
        <v>301</v>
      </c>
      <c r="H53" s="171" t="s">
        <v>54</v>
      </c>
      <c r="J53" s="85">
        <v>5.99</v>
      </c>
      <c r="M53" s="85">
        <v>1.79</v>
      </c>
      <c r="N53" s="16">
        <f>2.99-M53</f>
        <v>1.2000000000000002</v>
      </c>
    </row>
    <row r="54" spans="1:19">
      <c r="B54" s="161"/>
      <c r="C54" s="133">
        <v>4</v>
      </c>
      <c r="D54" s="119">
        <v>158</v>
      </c>
      <c r="E54" s="119">
        <v>1</v>
      </c>
      <c r="F54" s="119">
        <v>825586</v>
      </c>
      <c r="G54" s="133" t="s">
        <v>302</v>
      </c>
      <c r="H54" s="171" t="s">
        <v>54</v>
      </c>
      <c r="J54" s="141">
        <v>0</v>
      </c>
      <c r="K54" s="141"/>
      <c r="M54" s="85">
        <v>1.79</v>
      </c>
      <c r="N54" s="16">
        <f>2.99-M54</f>
        <v>1.2000000000000002</v>
      </c>
      <c r="S54" s="23"/>
    </row>
    <row r="55" spans="1:19">
      <c r="C55" s="133">
        <v>3</v>
      </c>
      <c r="D55" s="119">
        <v>151</v>
      </c>
      <c r="E55" s="119">
        <v>2</v>
      </c>
      <c r="F55" s="119">
        <v>406308</v>
      </c>
      <c r="G55" s="133" t="s">
        <v>303</v>
      </c>
      <c r="H55" s="171" t="s">
        <v>54</v>
      </c>
      <c r="I55" s="161"/>
      <c r="J55" s="85">
        <f>3.99*2</f>
        <v>7.98</v>
      </c>
      <c r="M55" s="85">
        <v>2.39</v>
      </c>
      <c r="N55" s="16">
        <f>3.99-M55</f>
        <v>1.6</v>
      </c>
    </row>
    <row r="56" spans="1:19">
      <c r="C56" s="133">
        <v>3</v>
      </c>
      <c r="D56" s="119">
        <v>181</v>
      </c>
      <c r="E56" s="119">
        <v>1</v>
      </c>
      <c r="F56" s="133">
        <v>111882</v>
      </c>
      <c r="G56" s="133" t="s">
        <v>304</v>
      </c>
      <c r="H56" s="171" t="s">
        <v>54</v>
      </c>
      <c r="J56" s="85">
        <v>2.33</v>
      </c>
      <c r="M56" s="85">
        <v>3.15</v>
      </c>
      <c r="N56" s="16">
        <f>5.25-M56</f>
        <v>2.1</v>
      </c>
    </row>
    <row r="57" spans="1:19">
      <c r="C57" s="133">
        <v>3</v>
      </c>
      <c r="D57" s="119">
        <v>187</v>
      </c>
      <c r="E57" s="119">
        <v>1</v>
      </c>
      <c r="F57" s="132" t="s">
        <v>305</v>
      </c>
      <c r="G57" s="133" t="s">
        <v>307</v>
      </c>
      <c r="H57" s="171" t="s">
        <v>54</v>
      </c>
      <c r="J57" s="141">
        <v>2.33</v>
      </c>
      <c r="K57" s="141"/>
      <c r="L57" s="142"/>
      <c r="M57" s="85">
        <v>3.6</v>
      </c>
      <c r="N57" s="16">
        <f>6-M57</f>
        <v>2.4</v>
      </c>
    </row>
    <row r="58" spans="1:19">
      <c r="C58" s="133">
        <v>3</v>
      </c>
      <c r="D58" s="119">
        <v>187</v>
      </c>
      <c r="E58" s="119">
        <v>1</v>
      </c>
      <c r="F58" s="132" t="s">
        <v>306</v>
      </c>
      <c r="G58" s="133" t="s">
        <v>307</v>
      </c>
      <c r="H58" s="171" t="s">
        <v>54</v>
      </c>
      <c r="J58" s="85">
        <v>2.33</v>
      </c>
      <c r="M58" s="85">
        <v>3.6</v>
      </c>
      <c r="N58" s="16">
        <f>6-M58</f>
        <v>2.4</v>
      </c>
    </row>
    <row r="59" spans="1:19">
      <c r="C59" s="133">
        <v>3</v>
      </c>
      <c r="D59" s="133" t="s">
        <v>299</v>
      </c>
      <c r="E59" s="119">
        <v>1</v>
      </c>
      <c r="F59" s="119">
        <v>530300</v>
      </c>
      <c r="G59" s="133" t="s">
        <v>308</v>
      </c>
      <c r="H59" s="171" t="s">
        <v>54</v>
      </c>
      <c r="J59" s="85">
        <v>1.99</v>
      </c>
      <c r="M59" s="85">
        <v>3.59</v>
      </c>
      <c r="N59" s="16">
        <f>5.99-M59</f>
        <v>2.4000000000000004</v>
      </c>
    </row>
    <row r="60" spans="1:19">
      <c r="C60" s="133">
        <v>4</v>
      </c>
      <c r="D60" s="119">
        <v>117</v>
      </c>
      <c r="E60" s="119">
        <v>1</v>
      </c>
      <c r="F60" s="132">
        <v>126308</v>
      </c>
      <c r="G60" s="145" t="s">
        <v>329</v>
      </c>
      <c r="H60" s="171" t="s">
        <v>54</v>
      </c>
      <c r="J60" s="85">
        <v>9.99</v>
      </c>
      <c r="M60" s="85">
        <v>7.99</v>
      </c>
      <c r="N60" s="16">
        <f>9.99-M60</f>
        <v>2</v>
      </c>
    </row>
    <row r="61" spans="1:19">
      <c r="G61" s="158"/>
      <c r="Q61" s="176">
        <f>SUM(N52:N60)</f>
        <v>17.61</v>
      </c>
    </row>
    <row r="62" spans="1:19" s="94" customFormat="1">
      <c r="A62" s="137" t="s">
        <v>64</v>
      </c>
      <c r="B62" s="138" t="s">
        <v>64</v>
      </c>
      <c r="C62" s="138">
        <v>4</v>
      </c>
      <c r="D62" s="138">
        <v>112</v>
      </c>
      <c r="E62" s="138">
        <v>1</v>
      </c>
      <c r="F62" s="138">
        <v>262610</v>
      </c>
      <c r="G62" s="138" t="s">
        <v>330</v>
      </c>
      <c r="H62" s="167" t="s">
        <v>54</v>
      </c>
      <c r="I62" s="138"/>
      <c r="J62" s="139">
        <v>12.99</v>
      </c>
      <c r="K62" s="139"/>
      <c r="L62" s="140"/>
      <c r="M62" s="139">
        <v>23.99</v>
      </c>
      <c r="N62" s="112">
        <f>39.99-M62</f>
        <v>16.000000000000004</v>
      </c>
      <c r="O62" s="112"/>
      <c r="P62" s="112"/>
      <c r="Q62" s="129"/>
      <c r="R62" s="112"/>
      <c r="S62" s="95"/>
    </row>
    <row r="63" spans="1:19">
      <c r="D63" s="119">
        <v>112</v>
      </c>
      <c r="E63" s="119">
        <v>1</v>
      </c>
      <c r="F63" s="119">
        <v>262606</v>
      </c>
      <c r="G63" s="157" t="s">
        <v>331</v>
      </c>
      <c r="H63" s="171" t="s">
        <v>54</v>
      </c>
      <c r="J63" s="118">
        <v>12.99</v>
      </c>
      <c r="K63" s="118"/>
      <c r="L63" s="117"/>
      <c r="M63" s="118">
        <v>23.99</v>
      </c>
      <c r="N63" s="16">
        <f>39.99-M63</f>
        <v>16.000000000000004</v>
      </c>
    </row>
    <row r="64" spans="1:19">
      <c r="D64" s="119">
        <v>121</v>
      </c>
      <c r="E64" s="119">
        <v>1</v>
      </c>
      <c r="F64" s="119">
        <v>882394</v>
      </c>
      <c r="G64" s="157" t="s">
        <v>332</v>
      </c>
      <c r="H64" s="171" t="s">
        <v>54</v>
      </c>
      <c r="J64" s="118">
        <v>9.99</v>
      </c>
      <c r="K64" s="118">
        <v>0.75</v>
      </c>
      <c r="L64" s="117">
        <f>SUM(J62:K64)</f>
        <v>36.72</v>
      </c>
      <c r="M64" s="118">
        <v>7.99</v>
      </c>
      <c r="N64" s="16">
        <f>9.99-M64</f>
        <v>2</v>
      </c>
    </row>
    <row r="65" spans="6:18">
      <c r="J65" s="118"/>
      <c r="K65" s="118"/>
      <c r="L65" s="117"/>
      <c r="M65" s="118"/>
      <c r="Q65" s="16">
        <f>+SUM(N62:N64)</f>
        <v>34.000000000000007</v>
      </c>
    </row>
    <row r="66" spans="6:18">
      <c r="J66" s="141"/>
      <c r="K66" s="141"/>
      <c r="L66" s="142"/>
      <c r="M66" s="141"/>
    </row>
    <row r="67" spans="6:18">
      <c r="J67" s="118"/>
      <c r="K67" s="118"/>
      <c r="L67" s="117"/>
      <c r="M67" s="118">
        <f>SUM(M2:M64)+3.4</f>
        <v>257.12999999999994</v>
      </c>
    </row>
    <row r="69" spans="6:18">
      <c r="G69" s="157"/>
    </row>
    <row r="70" spans="6:18">
      <c r="Q70" s="217">
        <f>+SUM(Q22:Q65)</f>
        <v>144.69999999999999</v>
      </c>
      <c r="R70" s="159">
        <f>SUM(R5:R54)</f>
        <v>292.85000000000002</v>
      </c>
    </row>
    <row r="73" spans="6:18">
      <c r="L73" s="156">
        <f>SUM(L2:L64)</f>
        <v>363.53000000000009</v>
      </c>
    </row>
    <row r="79" spans="6:18">
      <c r="F79" s="119">
        <v>105.94</v>
      </c>
    </row>
    <row r="85" spans="1:5">
      <c r="A85" s="228" t="s">
        <v>273</v>
      </c>
      <c r="B85" s="228"/>
      <c r="C85" s="228"/>
      <c r="D85" s="228"/>
      <c r="E85" s="85">
        <f>4+5.2+6.4+4.8+12+4+10.39+17.6+6.4+8+0.4+10.2</f>
        <v>89.390000000000015</v>
      </c>
    </row>
  </sheetData>
  <mergeCells count="4">
    <mergeCell ref="A85:D85"/>
    <mergeCell ref="W18:Y18"/>
    <mergeCell ref="J40:K40"/>
    <mergeCell ref="V12:W12"/>
  </mergeCells>
  <pageMargins left="0.7" right="0.7" top="0.75" bottom="0.75" header="0.3" footer="0.3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85"/>
  <sheetViews>
    <sheetView topLeftCell="I9" workbookViewId="0">
      <selection activeCell="Q25" sqref="Q25"/>
    </sheetView>
  </sheetViews>
  <sheetFormatPr defaultRowHeight="15.75"/>
  <cols>
    <col min="1" max="1" width="17.140625" style="180" customWidth="1"/>
    <col min="2" max="3" width="22" style="180" customWidth="1"/>
    <col min="4" max="5" width="9.140625" style="180"/>
    <col min="6" max="6" width="16.42578125" style="180" customWidth="1"/>
    <col min="7" max="7" width="39.85546875" style="180" customWidth="1"/>
    <col min="8" max="8" width="19.85546875" style="169" customWidth="1"/>
    <col min="9" max="9" width="16" style="180" customWidth="1"/>
    <col min="10" max="10" width="17.28515625" style="85" customWidth="1"/>
    <col min="11" max="11" width="19.5703125" style="85" customWidth="1"/>
    <col min="12" max="12" width="11.28515625" style="86" customWidth="1"/>
    <col min="13" max="13" width="9.140625" style="85"/>
    <col min="14" max="16" width="9.140625" style="16"/>
    <col min="17" max="17" width="11" style="129" bestFit="1" customWidth="1"/>
    <col min="18" max="18" width="13" style="16" customWidth="1"/>
    <col min="19" max="19" width="18" style="14" customWidth="1"/>
  </cols>
  <sheetData>
    <row r="1" spans="1:23" ht="26.25">
      <c r="A1" s="2" t="s">
        <v>0</v>
      </c>
      <c r="B1" s="2" t="s">
        <v>23</v>
      </c>
      <c r="C1" s="2" t="s">
        <v>52</v>
      </c>
      <c r="D1" s="3" t="s">
        <v>1</v>
      </c>
      <c r="E1" s="3" t="s">
        <v>2</v>
      </c>
      <c r="F1" s="3" t="s">
        <v>3</v>
      </c>
      <c r="G1" s="3" t="s">
        <v>4</v>
      </c>
      <c r="H1" s="186" t="s">
        <v>5</v>
      </c>
      <c r="I1" s="3" t="s">
        <v>6</v>
      </c>
      <c r="J1" s="4" t="s">
        <v>7</v>
      </c>
      <c r="K1" s="4" t="s">
        <v>17</v>
      </c>
      <c r="L1" s="17" t="s">
        <v>8</v>
      </c>
      <c r="M1" s="4" t="s">
        <v>63</v>
      </c>
      <c r="N1" s="113">
        <v>0.5</v>
      </c>
      <c r="O1" s="114">
        <v>0.2</v>
      </c>
      <c r="P1" s="115">
        <v>0.25</v>
      </c>
      <c r="Q1" s="128" t="s">
        <v>270</v>
      </c>
      <c r="R1" s="111" t="s">
        <v>18</v>
      </c>
      <c r="S1" s="19" t="s">
        <v>19</v>
      </c>
      <c r="T1" s="25" t="s">
        <v>53</v>
      </c>
      <c r="U1" s="26"/>
      <c r="V1" s="26"/>
    </row>
    <row r="2" spans="1:23">
      <c r="A2" s="24" t="s">
        <v>237</v>
      </c>
      <c r="B2" s="180" t="s">
        <v>335</v>
      </c>
      <c r="C2" s="180">
        <v>5</v>
      </c>
      <c r="D2" s="180">
        <v>73</v>
      </c>
      <c r="E2" s="180">
        <v>1</v>
      </c>
      <c r="F2" s="132">
        <v>150631</v>
      </c>
      <c r="G2" s="189" t="s">
        <v>336</v>
      </c>
      <c r="H2" s="184" t="s">
        <v>337</v>
      </c>
      <c r="J2" s="85">
        <v>7.99</v>
      </c>
      <c r="M2" s="85">
        <v>6.39</v>
      </c>
      <c r="N2" s="16">
        <f>7.99-6.39</f>
        <v>1.6000000000000005</v>
      </c>
    </row>
    <row r="3" spans="1:23">
      <c r="C3" s="180">
        <v>5</v>
      </c>
      <c r="D3" s="180">
        <v>25</v>
      </c>
      <c r="E3" s="180">
        <v>2</v>
      </c>
      <c r="F3" s="180">
        <v>506359</v>
      </c>
      <c r="G3" s="189" t="s">
        <v>338</v>
      </c>
      <c r="J3" s="85">
        <f>3.99*E3</f>
        <v>7.98</v>
      </c>
      <c r="M3" s="85">
        <v>6.38</v>
      </c>
      <c r="N3" s="16">
        <f>7.98-M3</f>
        <v>1.6000000000000005</v>
      </c>
      <c r="T3" s="163"/>
      <c r="U3" s="164"/>
      <c r="V3" s="164"/>
      <c r="W3" s="165"/>
    </row>
    <row r="4" spans="1:23">
      <c r="C4" s="180">
        <v>5</v>
      </c>
      <c r="D4" s="180">
        <v>50</v>
      </c>
      <c r="E4" s="180">
        <v>1</v>
      </c>
      <c r="F4" s="132">
        <v>382670</v>
      </c>
      <c r="G4" s="189" t="s">
        <v>339</v>
      </c>
      <c r="H4" s="169" t="s">
        <v>340</v>
      </c>
      <c r="J4" s="85">
        <v>5.99</v>
      </c>
      <c r="M4" s="85">
        <v>6.4</v>
      </c>
      <c r="N4" s="16">
        <f>8-M4</f>
        <v>1.5999999999999996</v>
      </c>
      <c r="O4" s="121"/>
      <c r="R4" s="16">
        <v>43.68</v>
      </c>
      <c r="S4" s="14">
        <v>104</v>
      </c>
    </row>
    <row r="5" spans="1:23">
      <c r="C5" s="180">
        <v>5</v>
      </c>
      <c r="D5" s="180">
        <v>58</v>
      </c>
      <c r="E5" s="180">
        <v>1</v>
      </c>
      <c r="F5" s="180">
        <v>124601</v>
      </c>
      <c r="G5" s="189" t="s">
        <v>343</v>
      </c>
      <c r="J5" s="85">
        <v>2.99</v>
      </c>
      <c r="M5" s="120">
        <v>4.8</v>
      </c>
      <c r="N5" s="121">
        <f>6-M5</f>
        <v>1.2000000000000002</v>
      </c>
      <c r="O5" s="121"/>
    </row>
    <row r="6" spans="1:23">
      <c r="C6" s="180">
        <v>5</v>
      </c>
      <c r="D6" s="180">
        <v>59</v>
      </c>
      <c r="E6" s="180">
        <v>1</v>
      </c>
      <c r="F6" s="180">
        <v>401014</v>
      </c>
      <c r="G6" s="189" t="s">
        <v>341</v>
      </c>
      <c r="H6" s="169" t="s">
        <v>342</v>
      </c>
      <c r="J6" s="85">
        <v>2.99</v>
      </c>
      <c r="M6" s="121"/>
      <c r="N6" s="121"/>
      <c r="O6" s="121"/>
    </row>
    <row r="7" spans="1:23">
      <c r="C7" s="180">
        <v>5</v>
      </c>
      <c r="D7" s="180">
        <v>61</v>
      </c>
      <c r="E7" s="180">
        <v>1</v>
      </c>
      <c r="F7" s="185" t="s">
        <v>344</v>
      </c>
      <c r="G7" s="189" t="s">
        <v>346</v>
      </c>
      <c r="H7" s="169" t="s">
        <v>345</v>
      </c>
      <c r="J7" s="85">
        <v>6</v>
      </c>
      <c r="M7" s="85">
        <v>1.59</v>
      </c>
      <c r="N7" s="16">
        <f>1.99-M7</f>
        <v>0.39999999999999991</v>
      </c>
      <c r="O7" s="121"/>
    </row>
    <row r="8" spans="1:23">
      <c r="C8" s="180">
        <v>5</v>
      </c>
      <c r="D8" s="180">
        <v>61</v>
      </c>
      <c r="E8" s="180">
        <v>1</v>
      </c>
      <c r="F8" s="180">
        <v>400261</v>
      </c>
      <c r="G8" s="189" t="s">
        <v>346</v>
      </c>
      <c r="H8" s="169" t="s">
        <v>347</v>
      </c>
      <c r="J8" s="85">
        <v>1.99</v>
      </c>
      <c r="M8" s="85">
        <v>1.59</v>
      </c>
      <c r="N8" s="16">
        <f>1.99-M8</f>
        <v>0.39999999999999991</v>
      </c>
      <c r="O8" s="121"/>
      <c r="T8" s="166"/>
    </row>
    <row r="9" spans="1:23">
      <c r="C9" s="180">
        <v>5</v>
      </c>
      <c r="D9" s="180">
        <v>64</v>
      </c>
      <c r="E9" s="180">
        <v>1</v>
      </c>
      <c r="F9" s="180">
        <v>471531</v>
      </c>
      <c r="G9" s="189" t="s">
        <v>348</v>
      </c>
      <c r="H9" s="169" t="s">
        <v>349</v>
      </c>
      <c r="J9" s="85">
        <v>8</v>
      </c>
      <c r="M9" s="85">
        <v>6.4</v>
      </c>
      <c r="N9" s="16">
        <f>8-M9</f>
        <v>1.5999999999999996</v>
      </c>
      <c r="O9" s="121"/>
      <c r="R9" s="16">
        <v>20.71</v>
      </c>
      <c r="S9" s="14">
        <v>4992</v>
      </c>
    </row>
    <row r="10" spans="1:23">
      <c r="C10" s="180">
        <v>5</v>
      </c>
      <c r="D10" s="180">
        <v>64</v>
      </c>
      <c r="E10" s="180">
        <v>1</v>
      </c>
      <c r="F10" s="180">
        <v>473405</v>
      </c>
      <c r="G10" s="189" t="s">
        <v>348</v>
      </c>
      <c r="H10" s="169" t="s">
        <v>350</v>
      </c>
      <c r="J10" s="85">
        <v>1.99</v>
      </c>
      <c r="M10" s="85">
        <v>3.59</v>
      </c>
      <c r="N10" s="121">
        <f>4.49-M10</f>
        <v>0.90000000000000036</v>
      </c>
      <c r="O10" s="121"/>
    </row>
    <row r="11" spans="1:23">
      <c r="C11" s="180">
        <v>5</v>
      </c>
      <c r="D11" s="180">
        <v>70</v>
      </c>
      <c r="E11" s="180">
        <v>1</v>
      </c>
      <c r="F11" s="180">
        <v>360874</v>
      </c>
      <c r="G11" s="189" t="s">
        <v>351</v>
      </c>
      <c r="H11" s="187" t="s">
        <v>352</v>
      </c>
      <c r="J11" s="85">
        <v>2.99</v>
      </c>
      <c r="M11" s="85">
        <v>4.8</v>
      </c>
      <c r="N11" s="121">
        <f>6-M11</f>
        <v>1.2000000000000002</v>
      </c>
      <c r="O11" s="121"/>
      <c r="T11" s="31"/>
    </row>
    <row r="12" spans="1:23">
      <c r="C12" s="180">
        <v>5</v>
      </c>
      <c r="D12" s="180">
        <v>70</v>
      </c>
      <c r="E12" s="180">
        <v>1</v>
      </c>
      <c r="F12" s="180">
        <v>360912</v>
      </c>
      <c r="G12" s="189" t="s">
        <v>351</v>
      </c>
      <c r="H12" s="169" t="s">
        <v>353</v>
      </c>
      <c r="J12" s="85">
        <v>2.99</v>
      </c>
      <c r="K12" s="85">
        <v>0.75</v>
      </c>
      <c r="L12" s="86">
        <f>SUM(J2:K12)</f>
        <v>52.650000000000013</v>
      </c>
      <c r="M12" s="85">
        <f>1.59</f>
        <v>1.59</v>
      </c>
      <c r="N12" s="121">
        <f>1.99-M12</f>
        <v>0.39999999999999991</v>
      </c>
      <c r="O12" s="121"/>
      <c r="V12" s="231"/>
      <c r="W12" s="231"/>
    </row>
    <row r="13" spans="1:23" s="166" customFormat="1">
      <c r="A13" s="181"/>
      <c r="B13" s="181"/>
      <c r="C13" s="181"/>
      <c r="D13" s="181"/>
      <c r="E13" s="181"/>
      <c r="F13" s="181"/>
      <c r="G13" s="182"/>
      <c r="H13" s="169"/>
      <c r="I13" s="181"/>
      <c r="J13" s="179"/>
      <c r="K13" s="179"/>
      <c r="L13" s="117"/>
      <c r="M13" s="179"/>
      <c r="N13" s="164"/>
      <c r="O13" s="164"/>
      <c r="P13" s="165"/>
      <c r="Q13" s="154"/>
      <c r="R13" s="165"/>
      <c r="S13" s="183"/>
      <c r="T13" s="190"/>
    </row>
    <row r="14" spans="1:23">
      <c r="B14" s="182" t="s">
        <v>354</v>
      </c>
      <c r="C14" s="180">
        <v>6</v>
      </c>
      <c r="D14" s="180">
        <v>9</v>
      </c>
      <c r="E14" s="180">
        <v>1</v>
      </c>
      <c r="F14" s="132" t="s">
        <v>355</v>
      </c>
      <c r="G14" s="189" t="s">
        <v>357</v>
      </c>
      <c r="H14" s="169" t="s">
        <v>358</v>
      </c>
      <c r="J14" s="85">
        <v>5.99</v>
      </c>
      <c r="M14" s="85">
        <v>4.79</v>
      </c>
      <c r="N14" s="121">
        <f>5.99-M14</f>
        <v>1.2000000000000002</v>
      </c>
      <c r="O14" s="121"/>
    </row>
    <row r="15" spans="1:23">
      <c r="C15" s="180">
        <v>6</v>
      </c>
      <c r="D15" s="180">
        <v>9</v>
      </c>
      <c r="E15" s="180">
        <v>1</v>
      </c>
      <c r="F15" s="132" t="s">
        <v>356</v>
      </c>
      <c r="G15" s="189" t="s">
        <v>357</v>
      </c>
      <c r="H15" s="169" t="s">
        <v>359</v>
      </c>
      <c r="J15" s="85">
        <v>5.99</v>
      </c>
      <c r="M15" s="120">
        <v>4.79</v>
      </c>
      <c r="N15" s="121">
        <f>5.99-M15</f>
        <v>1.2000000000000002</v>
      </c>
      <c r="O15" s="121"/>
      <c r="P15" s="123"/>
      <c r="Q15" s="130"/>
    </row>
    <row r="16" spans="1:23">
      <c r="C16" s="180">
        <v>6</v>
      </c>
      <c r="D16" s="180">
        <v>30</v>
      </c>
      <c r="E16" s="180">
        <v>1</v>
      </c>
      <c r="F16" s="180">
        <v>201439</v>
      </c>
      <c r="G16" s="189" t="s">
        <v>360</v>
      </c>
      <c r="H16" s="169" t="s">
        <v>361</v>
      </c>
      <c r="J16" s="85">
        <v>3.99</v>
      </c>
      <c r="L16" s="194"/>
      <c r="M16" s="120">
        <v>3.19</v>
      </c>
      <c r="N16" s="121">
        <f>3.99-3.19</f>
        <v>0.80000000000000027</v>
      </c>
      <c r="O16" s="121"/>
      <c r="P16" s="121"/>
      <c r="Q16" s="130"/>
      <c r="R16" s="121"/>
      <c r="S16" s="134"/>
    </row>
    <row r="17" spans="1:25">
      <c r="C17" s="180">
        <v>6</v>
      </c>
      <c r="D17" s="180">
        <v>30</v>
      </c>
      <c r="E17" s="180">
        <v>1</v>
      </c>
      <c r="F17" s="180">
        <v>201477</v>
      </c>
      <c r="G17" s="189" t="s">
        <v>360</v>
      </c>
      <c r="H17" s="169" t="s">
        <v>362</v>
      </c>
      <c r="J17" s="85">
        <v>3.99</v>
      </c>
      <c r="K17" s="85">
        <v>0.75</v>
      </c>
      <c r="L17" s="86">
        <f>SUM(J14:K17)</f>
        <v>20.71</v>
      </c>
      <c r="M17" s="120">
        <v>3.19</v>
      </c>
      <c r="N17" s="121">
        <f>3.99-3.19</f>
        <v>0.80000000000000027</v>
      </c>
      <c r="O17" s="121"/>
      <c r="P17" s="121"/>
      <c r="Q17" s="130"/>
      <c r="R17" s="121"/>
      <c r="S17" s="134"/>
    </row>
    <row r="18" spans="1:25">
      <c r="G18" s="189"/>
      <c r="M18" s="121"/>
      <c r="N18" s="121"/>
      <c r="O18" s="121"/>
      <c r="P18" s="121"/>
      <c r="Q18" s="130"/>
      <c r="R18" s="121"/>
      <c r="S18" s="134"/>
      <c r="U18" s="164"/>
      <c r="V18" s="164"/>
      <c r="W18" s="229"/>
      <c r="X18" s="229"/>
      <c r="Y18" s="229"/>
    </row>
    <row r="19" spans="1:25">
      <c r="G19" s="189"/>
      <c r="M19" s="121"/>
      <c r="N19" s="121"/>
      <c r="O19" s="121"/>
      <c r="P19" s="121"/>
      <c r="Q19" s="130"/>
      <c r="R19" s="121"/>
      <c r="S19" s="134"/>
      <c r="U19" s="166"/>
      <c r="V19" s="166"/>
      <c r="W19" s="166"/>
      <c r="X19" s="166"/>
      <c r="Y19" s="166"/>
    </row>
    <row r="20" spans="1:25">
      <c r="G20" s="189"/>
      <c r="M20" s="121"/>
      <c r="N20" s="121"/>
      <c r="O20" s="121"/>
      <c r="P20" s="121"/>
      <c r="Q20" s="130"/>
      <c r="R20" s="121"/>
      <c r="S20" s="134"/>
      <c r="V20" s="31"/>
    </row>
    <row r="21" spans="1:25" s="152" customFormat="1">
      <c r="A21" s="146"/>
      <c r="B21" s="146"/>
      <c r="C21" s="146"/>
      <c r="D21" s="146"/>
      <c r="E21" s="146"/>
      <c r="F21" s="146"/>
      <c r="G21" s="146"/>
      <c r="H21" s="174"/>
      <c r="I21" s="146"/>
      <c r="J21" s="147"/>
      <c r="K21" s="147"/>
      <c r="L21" s="148">
        <f>SUM(L2:L20)</f>
        <v>73.360000000000014</v>
      </c>
      <c r="M21" s="149">
        <f>SUM(M2:M20)</f>
        <v>59.489999999999995</v>
      </c>
      <c r="N21" s="149"/>
      <c r="O21" s="149"/>
      <c r="P21" s="149"/>
      <c r="Q21" s="150"/>
      <c r="R21" s="149"/>
      <c r="S21" s="151"/>
    </row>
    <row r="22" spans="1:25">
      <c r="A22" s="24" t="s">
        <v>43</v>
      </c>
      <c r="B22" s="182" t="s">
        <v>44</v>
      </c>
      <c r="C22" s="180">
        <v>5</v>
      </c>
      <c r="D22" s="180">
        <v>162</v>
      </c>
      <c r="E22" s="180">
        <v>2</v>
      </c>
      <c r="F22" s="180">
        <v>332970</v>
      </c>
      <c r="G22" s="189" t="s">
        <v>363</v>
      </c>
      <c r="J22" s="85">
        <v>6.5</v>
      </c>
      <c r="M22" s="121">
        <v>5.2</v>
      </c>
      <c r="N22" s="121">
        <f>6.5-M22</f>
        <v>1.2999999999999998</v>
      </c>
      <c r="O22" s="121"/>
      <c r="P22" s="121"/>
      <c r="Q22" s="130"/>
      <c r="R22" s="121"/>
      <c r="S22" s="134"/>
    </row>
    <row r="23" spans="1:25">
      <c r="C23" s="180">
        <v>5</v>
      </c>
      <c r="D23" s="180">
        <v>185</v>
      </c>
      <c r="E23" s="180">
        <v>1</v>
      </c>
      <c r="F23" s="180">
        <v>458330</v>
      </c>
      <c r="G23" s="189" t="s">
        <v>364</v>
      </c>
      <c r="J23" s="85">
        <v>3.99</v>
      </c>
      <c r="M23" s="121">
        <v>8</v>
      </c>
      <c r="N23" s="121">
        <f>10-M23</f>
        <v>2</v>
      </c>
      <c r="O23" s="121"/>
      <c r="P23" s="121"/>
      <c r="Q23" s="130"/>
      <c r="R23" s="121"/>
      <c r="S23" s="134"/>
    </row>
    <row r="24" spans="1:25">
      <c r="C24" s="180">
        <v>5</v>
      </c>
      <c r="D24" s="180">
        <v>74</v>
      </c>
      <c r="E24" s="180">
        <v>1</v>
      </c>
      <c r="F24" s="132">
        <v>207551</v>
      </c>
      <c r="G24" s="189" t="s">
        <v>365</v>
      </c>
      <c r="J24" s="85">
        <v>9.99</v>
      </c>
      <c r="K24" s="85">
        <v>0.75</v>
      </c>
      <c r="L24" s="86">
        <f>SUM(J22:K24)</f>
        <v>21.23</v>
      </c>
      <c r="M24" s="121">
        <v>7.99</v>
      </c>
      <c r="N24" s="121">
        <f>9.99-M24</f>
        <v>2</v>
      </c>
      <c r="O24" s="121"/>
      <c r="P24" s="121"/>
      <c r="Q24" s="130"/>
      <c r="R24" s="121"/>
      <c r="S24" s="134"/>
    </row>
    <row r="25" spans="1:25" s="166" customFormat="1">
      <c r="A25" s="181"/>
      <c r="B25" s="181"/>
      <c r="C25" s="181"/>
      <c r="D25" s="181"/>
      <c r="E25" s="181"/>
      <c r="F25" s="181"/>
      <c r="G25" s="181"/>
      <c r="H25" s="169"/>
      <c r="I25" s="181"/>
      <c r="J25" s="179"/>
      <c r="K25" s="179"/>
      <c r="L25" s="117"/>
      <c r="M25" s="179"/>
      <c r="N25" s="165"/>
      <c r="O25" s="164"/>
      <c r="P25" s="164"/>
      <c r="Q25" s="218">
        <f>+SUM(N2:N24)</f>
        <v>20.200000000000003</v>
      </c>
      <c r="R25" s="164">
        <v>18.23</v>
      </c>
      <c r="S25" s="142">
        <v>8871</v>
      </c>
    </row>
    <row r="26" spans="1:25" s="166" customFormat="1">
      <c r="A26" s="181"/>
      <c r="B26" s="181"/>
      <c r="C26" s="181"/>
      <c r="D26" s="181"/>
      <c r="E26" s="181"/>
      <c r="F26" s="181"/>
      <c r="G26" s="181"/>
      <c r="H26" s="169"/>
      <c r="I26" s="181"/>
      <c r="J26" s="179"/>
      <c r="K26" s="179"/>
      <c r="L26" s="117"/>
      <c r="M26" s="179"/>
      <c r="N26" s="165"/>
      <c r="O26" s="164"/>
      <c r="P26" s="164"/>
      <c r="Q26" s="150"/>
      <c r="R26" s="164"/>
      <c r="S26" s="142"/>
    </row>
    <row r="27" spans="1:25">
      <c r="I27" s="169"/>
      <c r="M27" s="121"/>
      <c r="N27" s="121"/>
      <c r="O27" s="121"/>
      <c r="P27" s="121"/>
      <c r="Q27" s="130"/>
      <c r="R27" s="121"/>
      <c r="S27" s="134"/>
    </row>
    <row r="28" spans="1:25">
      <c r="I28" s="169"/>
      <c r="J28" s="179"/>
      <c r="K28" s="179"/>
      <c r="M28" s="121">
        <f>SUM(M21:M24)+5.75+0.75</f>
        <v>87.179999999999993</v>
      </c>
      <c r="N28" s="121"/>
      <c r="O28" s="164"/>
      <c r="P28" s="121"/>
      <c r="Q28" s="130"/>
      <c r="R28" s="121"/>
      <c r="S28" s="134"/>
    </row>
    <row r="29" spans="1:25">
      <c r="I29" s="169"/>
      <c r="J29" s="179"/>
      <c r="K29" s="179"/>
      <c r="M29" s="121"/>
      <c r="N29" s="121"/>
      <c r="O29" s="121"/>
      <c r="P29" s="121"/>
      <c r="Q29" s="130"/>
      <c r="R29" s="121"/>
      <c r="S29" s="134"/>
    </row>
    <row r="30" spans="1:25">
      <c r="F30" s="132"/>
      <c r="J30" s="179"/>
      <c r="K30" s="179"/>
      <c r="M30" s="121"/>
      <c r="N30" s="121"/>
      <c r="O30" s="121"/>
      <c r="P30" s="121"/>
      <c r="Q30" s="130"/>
      <c r="R30" s="121"/>
      <c r="S30" s="134"/>
    </row>
    <row r="31" spans="1:25">
      <c r="F31" s="132"/>
      <c r="J31" s="179"/>
      <c r="K31" s="179"/>
      <c r="L31" s="86">
        <f>SUM(L21:L24)</f>
        <v>94.590000000000018</v>
      </c>
      <c r="N31" s="121"/>
      <c r="O31" s="121"/>
      <c r="P31" s="121"/>
      <c r="Q31" s="130"/>
      <c r="R31" s="121"/>
      <c r="S31" s="134"/>
    </row>
    <row r="32" spans="1:25">
      <c r="J32" s="179"/>
      <c r="K32" s="179"/>
      <c r="M32" s="121"/>
      <c r="N32" s="121"/>
      <c r="O32" s="121"/>
      <c r="P32" s="121"/>
      <c r="Q32" s="130"/>
      <c r="R32" s="121"/>
      <c r="S32" s="134"/>
    </row>
    <row r="33" spans="1:20">
      <c r="G33" s="84"/>
      <c r="J33" s="179"/>
      <c r="K33" s="179"/>
      <c r="M33" s="121"/>
      <c r="N33" s="121"/>
      <c r="O33" s="121"/>
      <c r="P33" s="121"/>
      <c r="Q33" s="130"/>
      <c r="R33" s="121"/>
      <c r="S33" s="134"/>
    </row>
    <row r="34" spans="1:20">
      <c r="J34" s="179"/>
      <c r="K34" s="179"/>
      <c r="M34" s="121"/>
      <c r="N34" s="121"/>
      <c r="O34" s="121"/>
      <c r="P34" s="121"/>
      <c r="Q34" s="130"/>
      <c r="R34" s="121"/>
      <c r="S34" s="134"/>
    </row>
    <row r="35" spans="1:20">
      <c r="J35" s="179"/>
      <c r="K35" s="179"/>
      <c r="M35" s="121"/>
      <c r="N35" s="121"/>
      <c r="O35" s="121"/>
      <c r="P35" s="121"/>
      <c r="Q35" s="130"/>
      <c r="R35" s="121"/>
      <c r="S35" s="134"/>
    </row>
    <row r="36" spans="1:20">
      <c r="J36" s="179"/>
      <c r="K36" s="179"/>
      <c r="M36" s="121"/>
      <c r="N36" s="121"/>
      <c r="O36" s="121"/>
      <c r="P36" s="121"/>
      <c r="Q36" s="130"/>
      <c r="R36" s="121"/>
      <c r="S36" s="134"/>
    </row>
    <row r="37" spans="1:20">
      <c r="F37" s="132"/>
      <c r="J37" s="179"/>
      <c r="K37" s="179"/>
      <c r="M37" s="121"/>
      <c r="N37" s="121"/>
      <c r="O37" s="121"/>
      <c r="P37" s="121"/>
      <c r="Q37" s="130"/>
      <c r="R37" s="121"/>
      <c r="S37" s="134"/>
    </row>
    <row r="38" spans="1:20">
      <c r="M38" s="121"/>
      <c r="N38" s="121"/>
      <c r="O38" s="121"/>
      <c r="P38" s="121"/>
      <c r="Q38" s="130"/>
      <c r="R38" s="121"/>
      <c r="S38" s="134"/>
    </row>
    <row r="39" spans="1:20">
      <c r="M39" s="121"/>
      <c r="N39" s="121"/>
      <c r="O39" s="121"/>
      <c r="P39" s="121"/>
      <c r="Q39" s="130"/>
      <c r="R39" s="121"/>
      <c r="S39" s="134"/>
    </row>
    <row r="40" spans="1:20">
      <c r="J40" s="231"/>
      <c r="K40" s="231"/>
      <c r="L40" s="156"/>
      <c r="M40" s="121"/>
      <c r="N40" s="121"/>
      <c r="O40" s="121"/>
      <c r="P40" s="121"/>
      <c r="Q40" s="130"/>
      <c r="R40" s="121"/>
      <c r="S40" s="134"/>
    </row>
    <row r="41" spans="1:20">
      <c r="M41" s="121"/>
      <c r="N41" s="121"/>
      <c r="O41" s="121"/>
      <c r="P41" s="121"/>
      <c r="Q41" s="130"/>
      <c r="R41" s="121"/>
      <c r="S41" s="134"/>
    </row>
    <row r="42" spans="1:20">
      <c r="M42" s="121"/>
      <c r="N42" s="121"/>
      <c r="O42" s="121"/>
      <c r="P42" s="121"/>
      <c r="Q42" s="130"/>
      <c r="R42" s="121"/>
      <c r="S42" s="134"/>
    </row>
    <row r="43" spans="1:20">
      <c r="M43" s="121"/>
      <c r="N43" s="121"/>
      <c r="O43" s="121"/>
      <c r="P43" s="121"/>
      <c r="Q43" s="130"/>
      <c r="R43" s="121"/>
      <c r="S43" s="134"/>
    </row>
    <row r="44" spans="1:20">
      <c r="M44" s="121"/>
      <c r="N44" s="121"/>
      <c r="O44" s="121"/>
      <c r="P44" s="121"/>
      <c r="Q44" s="130"/>
      <c r="R44" s="121"/>
      <c r="S44" s="134"/>
    </row>
    <row r="45" spans="1:20">
      <c r="M45" s="121"/>
      <c r="N45" s="121"/>
      <c r="O45" s="121"/>
      <c r="P45" s="121"/>
      <c r="Q45" s="130"/>
      <c r="R45" s="121"/>
      <c r="S45" s="134"/>
    </row>
    <row r="46" spans="1:20">
      <c r="M46" s="121"/>
      <c r="N46" s="164"/>
      <c r="O46" s="121"/>
      <c r="P46" s="121"/>
      <c r="Q46" s="130"/>
      <c r="R46" s="121"/>
      <c r="S46" s="134"/>
    </row>
    <row r="47" spans="1:20" s="94" customFormat="1" ht="19.5">
      <c r="A47" s="87"/>
      <c r="B47" s="88"/>
      <c r="C47" s="88"/>
      <c r="D47" s="89"/>
      <c r="E47" s="89"/>
      <c r="F47" s="89"/>
      <c r="G47" s="89"/>
      <c r="H47" s="188"/>
      <c r="I47" s="89"/>
      <c r="J47" s="90"/>
      <c r="K47" s="91"/>
      <c r="L47" s="92"/>
      <c r="M47" s="91"/>
      <c r="N47" s="93"/>
      <c r="O47" s="135"/>
      <c r="P47" s="93"/>
      <c r="Q47" s="131"/>
      <c r="R47" s="112"/>
      <c r="S47" s="95"/>
      <c r="T47" s="96"/>
    </row>
    <row r="48" spans="1:20">
      <c r="F48" s="132"/>
      <c r="H48" s="187"/>
    </row>
    <row r="49" spans="1:19">
      <c r="F49" s="132"/>
      <c r="H49" s="187"/>
    </row>
    <row r="51" spans="1:19">
      <c r="N51" s="165"/>
      <c r="Q51" s="136"/>
    </row>
    <row r="52" spans="1:19" s="94" customFormat="1">
      <c r="A52" s="137"/>
      <c r="B52" s="138"/>
      <c r="C52" s="138"/>
      <c r="D52" s="138"/>
      <c r="E52" s="138"/>
      <c r="F52" s="138"/>
      <c r="G52" s="138"/>
      <c r="H52" s="188"/>
      <c r="I52" s="138"/>
      <c r="J52" s="139"/>
      <c r="K52" s="139"/>
      <c r="L52" s="140"/>
      <c r="M52" s="139"/>
      <c r="N52" s="112"/>
      <c r="O52" s="112"/>
      <c r="P52" s="112"/>
      <c r="Q52" s="129"/>
      <c r="R52" s="112"/>
      <c r="S52" s="95"/>
    </row>
    <row r="53" spans="1:19">
      <c r="H53" s="187"/>
    </row>
    <row r="54" spans="1:19">
      <c r="H54" s="187"/>
      <c r="J54" s="141"/>
      <c r="K54" s="141"/>
      <c r="S54" s="23"/>
    </row>
    <row r="55" spans="1:19">
      <c r="H55" s="187"/>
    </row>
    <row r="56" spans="1:19">
      <c r="H56" s="187"/>
    </row>
    <row r="57" spans="1:19">
      <c r="F57" s="132"/>
      <c r="H57" s="187"/>
      <c r="J57" s="141"/>
      <c r="K57" s="141"/>
      <c r="L57" s="142"/>
    </row>
    <row r="58" spans="1:19">
      <c r="F58" s="132"/>
      <c r="H58" s="187"/>
    </row>
    <row r="59" spans="1:19">
      <c r="H59" s="187"/>
    </row>
    <row r="60" spans="1:19">
      <c r="F60" s="132"/>
      <c r="H60" s="187"/>
    </row>
    <row r="61" spans="1:19">
      <c r="N61" s="165"/>
    </row>
    <row r="62" spans="1:19" s="94" customFormat="1">
      <c r="A62" s="137"/>
      <c r="B62" s="138"/>
      <c r="C62" s="138"/>
      <c r="D62" s="138"/>
      <c r="E62" s="138"/>
      <c r="F62" s="138"/>
      <c r="G62" s="138"/>
      <c r="H62" s="188"/>
      <c r="I62" s="138"/>
      <c r="J62" s="139"/>
      <c r="K62" s="139"/>
      <c r="L62" s="140"/>
      <c r="M62" s="139"/>
      <c r="N62" s="112"/>
      <c r="O62" s="112"/>
      <c r="P62" s="112"/>
      <c r="Q62" s="129"/>
      <c r="R62" s="112"/>
      <c r="S62" s="95"/>
    </row>
    <row r="63" spans="1:19">
      <c r="H63" s="187"/>
      <c r="J63" s="179"/>
      <c r="K63" s="179"/>
      <c r="L63" s="117"/>
      <c r="M63" s="179"/>
    </row>
    <row r="64" spans="1:19">
      <c r="H64" s="187"/>
      <c r="J64" s="179"/>
      <c r="K64" s="179"/>
      <c r="L64" s="117"/>
      <c r="M64" s="179"/>
    </row>
    <row r="65" spans="10:18">
      <c r="J65" s="179"/>
      <c r="K65" s="179"/>
      <c r="L65" s="117"/>
      <c r="M65" s="179"/>
    </row>
    <row r="66" spans="10:18">
      <c r="J66" s="141"/>
      <c r="K66" s="141"/>
      <c r="L66" s="142"/>
      <c r="M66" s="141"/>
    </row>
    <row r="67" spans="10:18">
      <c r="J67" s="179"/>
      <c r="K67" s="179"/>
      <c r="L67" s="117"/>
      <c r="M67" s="179"/>
    </row>
    <row r="70" spans="10:18">
      <c r="R70" s="165"/>
    </row>
    <row r="73" spans="10:18">
      <c r="L73" s="156"/>
    </row>
    <row r="85" spans="1:5">
      <c r="A85" s="228"/>
      <c r="B85" s="228"/>
      <c r="C85" s="228"/>
      <c r="D85" s="228"/>
      <c r="E85" s="85"/>
    </row>
  </sheetData>
  <mergeCells count="4">
    <mergeCell ref="V12:W12"/>
    <mergeCell ref="W18:Y18"/>
    <mergeCell ref="J40:K40"/>
    <mergeCell ref="A85:D85"/>
  </mergeCells>
  <pageMargins left="0.7" right="0.7" top="0.75" bottom="0.75" header="0.3" footer="0.3"/>
  <pageSetup orientation="portrait" r:id="rId1"/>
  <ignoredErrors>
    <ignoredError sqref="F7 F14:F1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Y145"/>
  <sheetViews>
    <sheetView topLeftCell="J3" workbookViewId="0">
      <selection activeCell="Q23" sqref="Q23"/>
    </sheetView>
  </sheetViews>
  <sheetFormatPr defaultRowHeight="15.75"/>
  <cols>
    <col min="1" max="1" width="17.140625" style="192" customWidth="1"/>
    <col min="2" max="3" width="22" style="192" customWidth="1"/>
    <col min="4" max="5" width="9.140625" style="192"/>
    <col min="6" max="6" width="16.42578125" style="192" customWidth="1"/>
    <col min="7" max="7" width="39.85546875" style="192" customWidth="1"/>
    <col min="8" max="8" width="19.85546875" style="169" customWidth="1"/>
    <col min="9" max="9" width="16" style="192" customWidth="1"/>
    <col min="10" max="10" width="17.28515625" style="85" customWidth="1"/>
    <col min="11" max="11" width="19.5703125" style="85" customWidth="1"/>
    <col min="12" max="12" width="11.28515625" style="86" customWidth="1"/>
    <col min="13" max="13" width="9.140625" style="85"/>
    <col min="14" max="16" width="9.140625" style="16"/>
    <col min="17" max="17" width="11" style="129" bestFit="1" customWidth="1"/>
    <col min="18" max="18" width="13" style="16" customWidth="1"/>
    <col min="19" max="19" width="18" style="14" customWidth="1"/>
  </cols>
  <sheetData>
    <row r="1" spans="1:23" ht="26.25">
      <c r="A1" s="2" t="s">
        <v>0</v>
      </c>
      <c r="B1" s="2" t="s">
        <v>23</v>
      </c>
      <c r="C1" s="2" t="s">
        <v>52</v>
      </c>
      <c r="D1" s="3" t="s">
        <v>1</v>
      </c>
      <c r="E1" s="3" t="s">
        <v>2</v>
      </c>
      <c r="F1" s="3" t="s">
        <v>3</v>
      </c>
      <c r="G1" s="3" t="s">
        <v>4</v>
      </c>
      <c r="H1" s="197" t="s">
        <v>5</v>
      </c>
      <c r="I1" s="3" t="s">
        <v>6</v>
      </c>
      <c r="J1" s="4" t="s">
        <v>7</v>
      </c>
      <c r="K1" s="4" t="s">
        <v>17</v>
      </c>
      <c r="L1" s="17" t="s">
        <v>8</v>
      </c>
      <c r="M1" s="4" t="s">
        <v>63</v>
      </c>
      <c r="N1" s="113">
        <v>0.5</v>
      </c>
      <c r="O1" s="114">
        <v>0.2</v>
      </c>
      <c r="P1" s="115">
        <v>0.25</v>
      </c>
      <c r="Q1" s="128" t="s">
        <v>270</v>
      </c>
      <c r="R1" s="111" t="s">
        <v>18</v>
      </c>
      <c r="S1" s="19" t="s">
        <v>19</v>
      </c>
      <c r="T1" s="25" t="s">
        <v>53</v>
      </c>
      <c r="U1" s="26"/>
      <c r="V1" s="26"/>
    </row>
    <row r="2" spans="1:23">
      <c r="A2" s="24" t="s">
        <v>56</v>
      </c>
      <c r="B2" s="192" t="s">
        <v>56</v>
      </c>
      <c r="C2" s="192">
        <v>7</v>
      </c>
      <c r="F2" s="132">
        <v>2095952</v>
      </c>
      <c r="G2" s="192" t="s">
        <v>366</v>
      </c>
      <c r="J2" s="85">
        <v>12</v>
      </c>
      <c r="M2" s="85">
        <v>9.6</v>
      </c>
      <c r="N2" s="16">
        <f>12-9.6</f>
        <v>2.4000000000000004</v>
      </c>
    </row>
    <row r="3" spans="1:23">
      <c r="C3" s="192">
        <v>7</v>
      </c>
      <c r="F3" s="192">
        <v>412295</v>
      </c>
      <c r="G3" s="192" t="s">
        <v>368</v>
      </c>
      <c r="H3" s="170"/>
      <c r="J3" s="85">
        <v>6.99</v>
      </c>
      <c r="M3" s="85">
        <v>5.59</v>
      </c>
      <c r="N3" s="16">
        <f>6.99-5.59</f>
        <v>1.4000000000000004</v>
      </c>
      <c r="T3" s="163"/>
      <c r="U3" s="164"/>
      <c r="V3" s="164"/>
      <c r="W3" s="165"/>
    </row>
    <row r="4" spans="1:23">
      <c r="C4" s="192">
        <v>7</v>
      </c>
      <c r="F4" s="132">
        <v>673932</v>
      </c>
      <c r="G4" s="192" t="s">
        <v>367</v>
      </c>
      <c r="H4" s="170"/>
      <c r="J4" s="85">
        <v>5</v>
      </c>
      <c r="M4" s="85">
        <v>4</v>
      </c>
      <c r="N4" s="16">
        <f>5-4</f>
        <v>1</v>
      </c>
      <c r="O4" s="121"/>
    </row>
    <row r="5" spans="1:23">
      <c r="C5" s="192">
        <v>7</v>
      </c>
      <c r="F5" s="192">
        <v>797141</v>
      </c>
      <c r="G5" s="192" t="s">
        <v>369</v>
      </c>
      <c r="H5" s="170"/>
      <c r="J5" s="85">
        <v>19.989999999999998</v>
      </c>
      <c r="M5" s="120">
        <v>15.99</v>
      </c>
      <c r="N5" s="121">
        <f>19.99-M5</f>
        <v>3.9999999999999982</v>
      </c>
      <c r="O5" s="121"/>
    </row>
    <row r="6" spans="1:23">
      <c r="G6" s="195" t="s">
        <v>371</v>
      </c>
      <c r="J6" s="85">
        <v>9.99</v>
      </c>
      <c r="M6" s="121">
        <v>5.99</v>
      </c>
      <c r="N6" s="121">
        <f>J6-M6</f>
        <v>4</v>
      </c>
      <c r="O6" s="121"/>
    </row>
    <row r="7" spans="1:23">
      <c r="H7" s="170"/>
      <c r="K7" s="85">
        <v>0.75</v>
      </c>
      <c r="L7" s="86">
        <f>SUM(J2:K5)</f>
        <v>43.980000000000004</v>
      </c>
      <c r="O7" s="121"/>
    </row>
    <row r="8" spans="1:23">
      <c r="H8" s="170"/>
      <c r="N8" s="121"/>
      <c r="O8" s="121"/>
    </row>
    <row r="9" spans="1:23">
      <c r="N9" s="121"/>
      <c r="O9" s="121"/>
    </row>
    <row r="10" spans="1:23">
      <c r="H10" s="170"/>
      <c r="N10" s="121"/>
      <c r="O10" s="121"/>
    </row>
    <row r="11" spans="1:23">
      <c r="H11" s="171"/>
      <c r="N11" s="121"/>
      <c r="O11" s="121"/>
      <c r="T11" s="31"/>
    </row>
    <row r="12" spans="1:23">
      <c r="N12" s="121"/>
      <c r="O12" s="121"/>
      <c r="V12" s="231"/>
      <c r="W12" s="231"/>
    </row>
    <row r="13" spans="1:23" s="152" customFormat="1">
      <c r="A13" s="146"/>
      <c r="B13" s="146"/>
      <c r="C13" s="146"/>
      <c r="D13" s="146"/>
      <c r="E13" s="146"/>
      <c r="F13" s="146"/>
      <c r="G13" s="146"/>
      <c r="H13" s="174"/>
      <c r="I13" s="146"/>
      <c r="J13" s="147"/>
      <c r="K13" s="147"/>
      <c r="L13" s="148"/>
      <c r="M13" s="147"/>
      <c r="O13" s="149"/>
      <c r="P13" s="153"/>
      <c r="Q13" s="149">
        <f>SUM(N2:N6)</f>
        <v>12.799999999999999</v>
      </c>
      <c r="R13" s="153"/>
      <c r="S13" s="155"/>
    </row>
    <row r="14" spans="1:23">
      <c r="A14" s="24" t="s">
        <v>212</v>
      </c>
      <c r="B14" s="192" t="s">
        <v>212</v>
      </c>
      <c r="C14" s="192">
        <v>7</v>
      </c>
      <c r="F14" s="192">
        <v>84444</v>
      </c>
      <c r="G14" s="192" t="s">
        <v>217</v>
      </c>
      <c r="H14" s="170"/>
      <c r="J14" s="85">
        <v>3.99</v>
      </c>
      <c r="M14" s="85">
        <v>3.19</v>
      </c>
      <c r="N14" s="121">
        <f>3.99-M14</f>
        <v>0.80000000000000027</v>
      </c>
      <c r="O14" s="121"/>
    </row>
    <row r="15" spans="1:23">
      <c r="C15" s="192">
        <v>7</v>
      </c>
      <c r="F15" s="192">
        <v>201515</v>
      </c>
      <c r="G15" s="192" t="s">
        <v>370</v>
      </c>
      <c r="H15" s="170"/>
      <c r="J15" s="85">
        <v>3.99</v>
      </c>
      <c r="M15" s="122">
        <v>3.19</v>
      </c>
      <c r="N15" s="121">
        <f>3.99-M14</f>
        <v>0.80000000000000027</v>
      </c>
      <c r="O15" s="123"/>
      <c r="P15" s="123"/>
      <c r="Q15" s="130"/>
    </row>
    <row r="16" spans="1:23">
      <c r="H16" s="170"/>
      <c r="M16" s="121"/>
      <c r="N16" s="135"/>
      <c r="O16" s="121"/>
      <c r="P16" s="121"/>
      <c r="Q16" s="130"/>
      <c r="R16" s="121"/>
      <c r="S16" s="134"/>
    </row>
    <row r="17" spans="1:25">
      <c r="H17" s="170"/>
      <c r="K17" s="85">
        <v>0.75</v>
      </c>
      <c r="L17" s="86">
        <f>SUM(J14:K15)</f>
        <v>7.98</v>
      </c>
      <c r="M17" s="121"/>
      <c r="N17" s="121"/>
      <c r="O17" s="121"/>
      <c r="P17" s="121"/>
      <c r="Q17" s="130"/>
      <c r="R17" s="121"/>
      <c r="S17" s="134"/>
    </row>
    <row r="18" spans="1:25">
      <c r="H18" s="170"/>
      <c r="M18" s="121"/>
      <c r="N18" s="121"/>
      <c r="O18" s="121"/>
      <c r="P18" s="121"/>
      <c r="Q18" s="130"/>
      <c r="R18" s="121">
        <v>11.72</v>
      </c>
      <c r="S18" s="201">
        <v>701</v>
      </c>
      <c r="U18" s="164"/>
      <c r="V18" s="164"/>
      <c r="W18" s="229"/>
      <c r="X18" s="229"/>
      <c r="Y18" s="229"/>
    </row>
    <row r="19" spans="1:25">
      <c r="H19" s="170"/>
      <c r="K19" s="85">
        <f>2.99+0.75+L17</f>
        <v>11.72</v>
      </c>
      <c r="M19" s="121"/>
      <c r="N19" s="121"/>
      <c r="O19" s="121"/>
      <c r="P19" s="121"/>
      <c r="Q19" s="130"/>
      <c r="R19" s="121"/>
      <c r="S19" s="134"/>
      <c r="U19" s="166"/>
      <c r="V19" s="166"/>
      <c r="W19" s="166"/>
      <c r="X19" s="166"/>
      <c r="Y19" s="166"/>
    </row>
    <row r="20" spans="1:25">
      <c r="H20" s="170"/>
      <c r="M20" s="121"/>
      <c r="N20" s="121"/>
      <c r="O20" s="121"/>
      <c r="P20" s="121"/>
      <c r="Q20" s="130"/>
      <c r="R20" s="121"/>
      <c r="S20" s="134"/>
      <c r="V20" s="31"/>
    </row>
    <row r="21" spans="1:25" s="152" customFormat="1">
      <c r="A21" s="146"/>
      <c r="B21" s="146"/>
      <c r="C21" s="146"/>
      <c r="D21" s="146"/>
      <c r="E21" s="146"/>
      <c r="F21" s="146"/>
      <c r="G21" s="146"/>
      <c r="H21" s="175"/>
      <c r="I21" s="146"/>
      <c r="J21" s="147"/>
      <c r="K21" s="147"/>
      <c r="L21" s="148"/>
      <c r="M21" s="149"/>
      <c r="O21" s="149"/>
      <c r="P21" s="149"/>
      <c r="Q21" s="149">
        <f>N14+N15</f>
        <v>1.6000000000000005</v>
      </c>
      <c r="R21" s="149"/>
      <c r="S21" s="151"/>
    </row>
    <row r="22" spans="1:25">
      <c r="H22" s="170"/>
      <c r="M22" s="121"/>
      <c r="N22" s="121"/>
      <c r="O22" s="121"/>
      <c r="P22" s="121"/>
      <c r="Q22" s="130"/>
      <c r="R22" s="121"/>
      <c r="S22" s="134"/>
    </row>
    <row r="23" spans="1:25">
      <c r="H23" s="170"/>
      <c r="L23" s="86">
        <f>SUM(L2:L20)</f>
        <v>51.960000000000008</v>
      </c>
      <c r="M23" s="121"/>
      <c r="N23" s="121"/>
      <c r="O23" s="121"/>
      <c r="P23" s="121"/>
      <c r="Q23" s="218">
        <f>+SUM(Q13:Q22)</f>
        <v>14.399999999999999</v>
      </c>
      <c r="R23" s="121"/>
      <c r="S23" s="134"/>
    </row>
    <row r="24" spans="1:25">
      <c r="F24" s="132"/>
      <c r="H24" s="170"/>
      <c r="M24" s="121"/>
      <c r="N24" s="121"/>
      <c r="O24" s="121"/>
      <c r="P24" s="121"/>
      <c r="Q24" s="130"/>
      <c r="R24" s="121"/>
      <c r="S24" s="134"/>
    </row>
    <row r="25" spans="1:25" s="166" customFormat="1">
      <c r="A25" s="193"/>
      <c r="B25" s="193"/>
      <c r="C25" s="193"/>
      <c r="D25" s="193"/>
      <c r="E25" s="193"/>
      <c r="F25" s="193"/>
      <c r="G25" s="193"/>
      <c r="H25" s="170"/>
      <c r="I25" s="193"/>
      <c r="J25" s="191"/>
      <c r="K25" s="191"/>
      <c r="L25" s="117"/>
      <c r="M25" s="191"/>
      <c r="N25" s="165"/>
      <c r="O25" s="164"/>
      <c r="P25" s="164"/>
      <c r="Q25" s="178"/>
      <c r="R25" s="164"/>
      <c r="S25" s="142"/>
    </row>
    <row r="26" spans="1:25" s="166" customFormat="1">
      <c r="A26" s="193"/>
      <c r="B26" s="193"/>
      <c r="C26" s="193"/>
      <c r="D26" s="193"/>
      <c r="E26" s="193"/>
      <c r="F26" s="193"/>
      <c r="G26" s="193"/>
      <c r="H26" s="170"/>
      <c r="I26" s="193"/>
      <c r="J26" s="191"/>
      <c r="K26" s="191"/>
      <c r="L26" s="117"/>
      <c r="M26" s="191"/>
      <c r="N26" s="165"/>
      <c r="O26" s="164"/>
      <c r="P26" s="164"/>
      <c r="Q26" s="178"/>
      <c r="R26" s="164"/>
      <c r="S26" s="142"/>
    </row>
    <row r="27" spans="1:25">
      <c r="H27" s="170"/>
      <c r="I27" s="169"/>
      <c r="M27" s="121"/>
      <c r="N27" s="121"/>
      <c r="O27" s="121"/>
      <c r="P27" s="121"/>
      <c r="Q27" s="130"/>
      <c r="R27" s="121"/>
      <c r="S27" s="134"/>
    </row>
    <row r="28" spans="1:25">
      <c r="I28" s="169"/>
      <c r="J28" s="191"/>
      <c r="K28" s="191"/>
      <c r="M28" s="121"/>
      <c r="N28" s="121"/>
      <c r="O28" s="164"/>
      <c r="P28" s="121"/>
      <c r="Q28" s="130"/>
      <c r="R28" s="121"/>
      <c r="S28" s="134"/>
    </row>
    <row r="29" spans="1:25">
      <c r="H29" s="170"/>
      <c r="I29" s="169"/>
      <c r="J29" s="191"/>
      <c r="K29" s="191"/>
      <c r="M29" s="121"/>
      <c r="N29" s="121"/>
      <c r="O29" s="121"/>
      <c r="P29" s="121"/>
      <c r="Q29" s="130"/>
      <c r="R29" s="121"/>
      <c r="S29" s="134"/>
    </row>
    <row r="30" spans="1:25">
      <c r="F30" s="132"/>
      <c r="H30" s="170"/>
      <c r="J30" s="191"/>
      <c r="K30" s="191"/>
      <c r="M30" s="121"/>
      <c r="N30" s="121"/>
      <c r="O30" s="121"/>
      <c r="P30" s="121"/>
      <c r="Q30" s="130"/>
      <c r="R30" s="121"/>
      <c r="S30" s="134"/>
    </row>
    <row r="31" spans="1:25">
      <c r="F31" s="132"/>
      <c r="H31" s="170"/>
      <c r="J31" s="191"/>
      <c r="K31" s="191"/>
      <c r="N31" s="121"/>
      <c r="O31" s="121"/>
      <c r="P31" s="121"/>
      <c r="Q31" s="130"/>
      <c r="R31" s="121"/>
      <c r="S31" s="134"/>
    </row>
    <row r="32" spans="1:25">
      <c r="H32" s="170"/>
      <c r="J32" s="191"/>
      <c r="K32" s="191"/>
      <c r="M32" s="121"/>
      <c r="N32" s="121"/>
      <c r="O32" s="121"/>
      <c r="P32" s="121"/>
      <c r="Q32" s="130"/>
      <c r="R32" s="121"/>
      <c r="S32" s="134"/>
    </row>
    <row r="33" spans="1:20">
      <c r="H33" s="170"/>
      <c r="J33" s="191"/>
      <c r="K33" s="191"/>
      <c r="M33" s="121"/>
      <c r="N33" s="121"/>
      <c r="O33" s="121"/>
      <c r="P33" s="121"/>
      <c r="Q33" s="130"/>
      <c r="R33" s="121"/>
      <c r="S33" s="134"/>
    </row>
    <row r="34" spans="1:20">
      <c r="H34" s="170"/>
      <c r="J34" s="191"/>
      <c r="K34" s="191"/>
      <c r="M34" s="121"/>
      <c r="N34" s="121"/>
      <c r="O34" s="121"/>
      <c r="P34" s="121"/>
      <c r="Q34" s="130"/>
      <c r="R34" s="121"/>
      <c r="S34" s="134"/>
    </row>
    <row r="35" spans="1:20">
      <c r="H35" s="170"/>
      <c r="J35" s="191"/>
      <c r="K35" s="191"/>
      <c r="M35" s="121"/>
      <c r="N35" s="121"/>
      <c r="O35" s="121"/>
      <c r="P35" s="121"/>
      <c r="Q35" s="130"/>
      <c r="R35" s="121"/>
      <c r="S35" s="134"/>
    </row>
    <row r="36" spans="1:20">
      <c r="H36" s="170"/>
      <c r="J36" s="191"/>
      <c r="K36" s="191"/>
      <c r="M36" s="121"/>
      <c r="N36" s="121"/>
      <c r="O36" s="121"/>
      <c r="P36" s="121"/>
      <c r="Q36" s="130"/>
      <c r="R36" s="121"/>
      <c r="S36" s="134"/>
    </row>
    <row r="37" spans="1:20">
      <c r="F37" s="132"/>
      <c r="H37" s="170"/>
      <c r="J37" s="191"/>
      <c r="K37" s="191"/>
      <c r="M37" s="121"/>
      <c r="N37" s="121"/>
      <c r="O37" s="121"/>
      <c r="P37" s="121"/>
      <c r="Q37" s="130"/>
      <c r="R37" s="121"/>
      <c r="S37" s="134"/>
    </row>
    <row r="38" spans="1:20">
      <c r="H38" s="170"/>
      <c r="M38" s="121"/>
      <c r="N38" s="121"/>
      <c r="O38" s="121"/>
      <c r="P38" s="121"/>
      <c r="Q38" s="130"/>
      <c r="R38" s="121"/>
      <c r="S38" s="134"/>
    </row>
    <row r="39" spans="1:20">
      <c r="M39" s="121"/>
      <c r="N39" s="121"/>
      <c r="O39" s="121"/>
      <c r="P39" s="121"/>
      <c r="Q39" s="130"/>
      <c r="R39" s="121"/>
      <c r="S39" s="134"/>
    </row>
    <row r="40" spans="1:20">
      <c r="J40" s="196"/>
      <c r="K40" s="196"/>
      <c r="L40" s="156"/>
      <c r="M40" s="121"/>
      <c r="N40" s="121"/>
      <c r="O40" s="121"/>
      <c r="P40" s="121"/>
      <c r="Q40" s="130"/>
      <c r="R40" s="121"/>
      <c r="S40" s="134"/>
    </row>
    <row r="41" spans="1:20">
      <c r="M41" s="121"/>
      <c r="N41" s="121"/>
      <c r="O41" s="121"/>
      <c r="P41" s="121"/>
      <c r="Q41" s="130"/>
      <c r="R41" s="121"/>
      <c r="S41" s="134"/>
    </row>
    <row r="42" spans="1:20">
      <c r="M42" s="121"/>
      <c r="N42" s="121"/>
      <c r="O42" s="121"/>
      <c r="P42" s="121"/>
      <c r="Q42" s="130"/>
      <c r="R42" s="121"/>
      <c r="S42" s="134"/>
    </row>
    <row r="43" spans="1:20">
      <c r="M43" s="121"/>
      <c r="N43" s="121"/>
      <c r="O43" s="121"/>
      <c r="P43" s="121"/>
      <c r="Q43" s="130"/>
      <c r="R43" s="121"/>
      <c r="S43" s="134"/>
    </row>
    <row r="44" spans="1:20">
      <c r="M44" s="121"/>
      <c r="N44" s="121"/>
      <c r="O44" s="121"/>
      <c r="P44" s="121"/>
      <c r="Q44" s="130"/>
      <c r="R44" s="121"/>
      <c r="S44" s="134"/>
    </row>
    <row r="45" spans="1:20">
      <c r="M45" s="121"/>
      <c r="N45" s="121"/>
      <c r="O45" s="121"/>
      <c r="P45" s="121"/>
      <c r="Q45" s="130"/>
      <c r="R45" s="121"/>
      <c r="S45" s="134"/>
    </row>
    <row r="46" spans="1:20">
      <c r="M46" s="121"/>
      <c r="N46" s="164"/>
      <c r="O46" s="121"/>
      <c r="P46" s="121"/>
      <c r="Q46" s="130"/>
      <c r="R46" s="121"/>
      <c r="S46" s="134"/>
    </row>
    <row r="47" spans="1:20" s="94" customFormat="1" ht="19.5">
      <c r="A47" s="87"/>
      <c r="B47" s="88"/>
      <c r="C47" s="88"/>
      <c r="D47" s="89"/>
      <c r="E47" s="89"/>
      <c r="F47" s="89"/>
      <c r="G47" s="89"/>
      <c r="H47" s="167"/>
      <c r="I47" s="89"/>
      <c r="J47" s="90"/>
      <c r="K47" s="91"/>
      <c r="L47" s="92"/>
      <c r="M47" s="91"/>
      <c r="N47" s="93"/>
      <c r="O47" s="135"/>
      <c r="P47" s="93"/>
      <c r="Q47" s="131"/>
      <c r="R47" s="112"/>
      <c r="S47" s="95"/>
      <c r="T47" s="96"/>
    </row>
    <row r="48" spans="1:20">
      <c r="F48" s="132"/>
      <c r="H48" s="171"/>
    </row>
    <row r="49" spans="1:19">
      <c r="F49" s="132"/>
      <c r="H49" s="171"/>
    </row>
    <row r="51" spans="1:19">
      <c r="N51" s="176"/>
      <c r="Q51" s="136"/>
    </row>
    <row r="52" spans="1:19" s="94" customFormat="1">
      <c r="A52" s="137"/>
      <c r="B52" s="138"/>
      <c r="C52" s="138"/>
      <c r="D52" s="138"/>
      <c r="E52" s="138"/>
      <c r="F52" s="138"/>
      <c r="G52" s="138"/>
      <c r="H52" s="167"/>
      <c r="I52" s="138"/>
      <c r="J52" s="139"/>
      <c r="K52" s="139"/>
      <c r="L52" s="140"/>
      <c r="M52" s="139"/>
      <c r="N52" s="112"/>
      <c r="O52" s="112"/>
      <c r="P52" s="112"/>
      <c r="Q52" s="129"/>
      <c r="R52" s="112"/>
      <c r="S52" s="95"/>
    </row>
    <row r="53" spans="1:19">
      <c r="H53" s="171"/>
    </row>
    <row r="54" spans="1:19">
      <c r="H54" s="171"/>
      <c r="J54" s="141"/>
      <c r="K54" s="141"/>
      <c r="S54" s="23"/>
    </row>
    <row r="55" spans="1:19">
      <c r="H55" s="171"/>
    </row>
    <row r="56" spans="1:19">
      <c r="H56" s="171"/>
    </row>
    <row r="57" spans="1:19">
      <c r="F57" s="132"/>
      <c r="H57" s="171"/>
      <c r="J57" s="141"/>
      <c r="K57" s="141"/>
      <c r="L57" s="142"/>
    </row>
    <row r="58" spans="1:19">
      <c r="F58" s="132"/>
      <c r="H58" s="171"/>
    </row>
    <row r="59" spans="1:19">
      <c r="H59" s="171"/>
    </row>
    <row r="60" spans="1:19">
      <c r="F60" s="132"/>
      <c r="H60" s="171"/>
    </row>
    <row r="61" spans="1:19">
      <c r="N61" s="176"/>
    </row>
    <row r="62" spans="1:19" s="94" customFormat="1">
      <c r="A62" s="137"/>
      <c r="B62" s="138"/>
      <c r="C62" s="138"/>
      <c r="D62" s="138"/>
      <c r="E62" s="138"/>
      <c r="F62" s="138"/>
      <c r="G62" s="138"/>
      <c r="H62" s="167"/>
      <c r="I62" s="138"/>
      <c r="J62" s="139"/>
      <c r="K62" s="139"/>
      <c r="L62" s="140"/>
      <c r="M62" s="139"/>
      <c r="N62" s="112"/>
      <c r="O62" s="112"/>
      <c r="P62" s="112"/>
      <c r="Q62" s="129"/>
      <c r="R62" s="112"/>
      <c r="S62" s="95"/>
    </row>
    <row r="63" spans="1:19">
      <c r="H63" s="171"/>
      <c r="J63" s="191"/>
      <c r="K63" s="191"/>
      <c r="L63" s="117"/>
      <c r="M63" s="191"/>
    </row>
    <row r="64" spans="1:19">
      <c r="H64" s="171"/>
      <c r="J64" s="191"/>
      <c r="K64" s="191"/>
      <c r="L64" s="117"/>
      <c r="M64" s="191"/>
    </row>
    <row r="65" spans="10:18">
      <c r="J65" s="191"/>
      <c r="K65" s="191"/>
      <c r="L65" s="117"/>
      <c r="M65" s="191"/>
    </row>
    <row r="66" spans="10:18">
      <c r="J66" s="141"/>
      <c r="K66" s="141"/>
      <c r="L66" s="142"/>
      <c r="M66" s="141"/>
    </row>
    <row r="67" spans="10:18">
      <c r="J67" s="191"/>
      <c r="K67" s="191"/>
      <c r="L67" s="117"/>
      <c r="M67" s="191"/>
    </row>
    <row r="70" spans="10:18">
      <c r="R70" s="159"/>
    </row>
    <row r="73" spans="10:18">
      <c r="L73" s="156"/>
    </row>
    <row r="85" spans="1:5">
      <c r="A85" s="228"/>
      <c r="B85" s="228"/>
      <c r="C85" s="228"/>
      <c r="D85" s="228"/>
      <c r="E85" s="85"/>
    </row>
    <row r="145" spans="23:23">
      <c r="W145" t="s">
        <v>372</v>
      </c>
    </row>
  </sheetData>
  <mergeCells count="3">
    <mergeCell ref="V12:W12"/>
    <mergeCell ref="W18:Y18"/>
    <mergeCell ref="A85:D8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45"/>
  <sheetViews>
    <sheetView topLeftCell="I6" workbookViewId="0">
      <selection activeCell="Q27" sqref="Q27"/>
    </sheetView>
  </sheetViews>
  <sheetFormatPr defaultRowHeight="15.75"/>
  <cols>
    <col min="1" max="1" width="17.140625" style="199" customWidth="1"/>
    <col min="2" max="3" width="22" style="199" customWidth="1"/>
    <col min="4" max="5" width="9.140625" style="199"/>
    <col min="6" max="6" width="16.42578125" style="199" customWidth="1"/>
    <col min="7" max="7" width="39.85546875" style="199" customWidth="1"/>
    <col min="8" max="8" width="19.85546875" style="169" customWidth="1"/>
    <col min="9" max="9" width="16" style="199" customWidth="1"/>
    <col min="10" max="10" width="17.28515625" style="85" customWidth="1"/>
    <col min="11" max="11" width="19.5703125" style="85" customWidth="1"/>
    <col min="12" max="12" width="11.28515625" style="86" customWidth="1"/>
    <col min="13" max="13" width="9.140625" style="85"/>
    <col min="14" max="16" width="9.140625" style="16"/>
    <col min="17" max="17" width="11" style="129" bestFit="1" customWidth="1"/>
    <col min="18" max="18" width="13" style="16" customWidth="1"/>
    <col min="19" max="19" width="18" style="14" customWidth="1"/>
  </cols>
  <sheetData>
    <row r="1" spans="1:23" ht="26.25">
      <c r="A1" s="2" t="s">
        <v>0</v>
      </c>
      <c r="B1" s="2" t="s">
        <v>23</v>
      </c>
      <c r="C1" s="2" t="s">
        <v>52</v>
      </c>
      <c r="D1" s="3" t="s">
        <v>1</v>
      </c>
      <c r="E1" s="3" t="s">
        <v>2</v>
      </c>
      <c r="F1" s="3" t="s">
        <v>3</v>
      </c>
      <c r="G1" s="3" t="s">
        <v>4</v>
      </c>
      <c r="H1" s="197" t="s">
        <v>5</v>
      </c>
      <c r="I1" s="3" t="s">
        <v>6</v>
      </c>
      <c r="J1" s="4" t="s">
        <v>7</v>
      </c>
      <c r="K1" s="4" t="s">
        <v>17</v>
      </c>
      <c r="L1" s="17" t="s">
        <v>8</v>
      </c>
      <c r="M1" s="4" t="s">
        <v>63</v>
      </c>
      <c r="N1" s="113">
        <v>0.5</v>
      </c>
      <c r="O1" s="114">
        <v>0.2</v>
      </c>
      <c r="P1" s="115">
        <v>0.25</v>
      </c>
      <c r="Q1" s="128" t="s">
        <v>270</v>
      </c>
      <c r="R1" s="111" t="s">
        <v>18</v>
      </c>
      <c r="S1" s="19" t="s">
        <v>19</v>
      </c>
      <c r="T1" s="25" t="s">
        <v>53</v>
      </c>
      <c r="U1" s="26"/>
      <c r="V1" s="26"/>
    </row>
    <row r="2" spans="1:23">
      <c r="A2" s="24" t="s">
        <v>56</v>
      </c>
      <c r="B2" s="199" t="s">
        <v>56</v>
      </c>
      <c r="C2" s="199">
        <v>8</v>
      </c>
      <c r="F2" s="132" t="s">
        <v>373</v>
      </c>
      <c r="G2" s="199" t="s">
        <v>374</v>
      </c>
      <c r="J2" s="85">
        <v>2.99</v>
      </c>
      <c r="M2" s="85">
        <v>2.39</v>
      </c>
      <c r="N2" s="16">
        <f>2.99-M2</f>
        <v>0.60000000000000009</v>
      </c>
    </row>
    <row r="3" spans="1:23">
      <c r="C3" s="199">
        <v>8</v>
      </c>
      <c r="F3" s="199">
        <v>308283</v>
      </c>
      <c r="G3" s="199" t="s">
        <v>374</v>
      </c>
      <c r="H3" s="170"/>
      <c r="J3" s="85">
        <v>16.5</v>
      </c>
      <c r="M3" s="85">
        <v>13.2</v>
      </c>
      <c r="N3" s="16">
        <f>16.5-M3</f>
        <v>3.3000000000000007</v>
      </c>
      <c r="T3" s="163"/>
      <c r="U3" s="164"/>
      <c r="V3" s="164"/>
      <c r="W3" s="165"/>
    </row>
    <row r="4" spans="1:23">
      <c r="C4" s="199">
        <v>8</v>
      </c>
      <c r="F4" s="132">
        <v>209592</v>
      </c>
      <c r="G4" s="199" t="s">
        <v>366</v>
      </c>
      <c r="H4" s="170"/>
      <c r="J4" s="85">
        <v>12</v>
      </c>
      <c r="M4" s="85">
        <v>9.6</v>
      </c>
      <c r="N4" s="16">
        <f>12-M4</f>
        <v>2.4000000000000004</v>
      </c>
      <c r="O4" s="121"/>
    </row>
    <row r="5" spans="1:23">
      <c r="C5" s="199">
        <v>8</v>
      </c>
      <c r="F5" s="199">
        <v>245232</v>
      </c>
      <c r="G5" s="199" t="s">
        <v>375</v>
      </c>
      <c r="H5" s="170"/>
      <c r="J5" s="85">
        <v>19.989999999999998</v>
      </c>
      <c r="M5" s="120">
        <v>15.99</v>
      </c>
      <c r="N5" s="121">
        <f>19.99-M5</f>
        <v>3.9999999999999982</v>
      </c>
      <c r="O5" s="121"/>
    </row>
    <row r="6" spans="1:23">
      <c r="J6" s="85">
        <v>9.99</v>
      </c>
      <c r="M6" s="121"/>
      <c r="N6" s="121"/>
      <c r="O6" s="121"/>
    </row>
    <row r="7" spans="1:23">
      <c r="H7" s="170"/>
      <c r="K7" s="85">
        <v>0.75</v>
      </c>
      <c r="L7" s="86">
        <f>SUM(J2:K5)</f>
        <v>51.480000000000004</v>
      </c>
      <c r="O7" s="121"/>
      <c r="R7" s="16">
        <v>51.5</v>
      </c>
    </row>
    <row r="8" spans="1:23">
      <c r="H8" s="170"/>
      <c r="N8" s="121"/>
      <c r="O8" s="121"/>
    </row>
    <row r="9" spans="1:23">
      <c r="N9" s="121"/>
      <c r="O9" s="121"/>
    </row>
    <row r="10" spans="1:23">
      <c r="H10" s="170"/>
      <c r="N10" s="121"/>
      <c r="O10" s="121"/>
    </row>
    <row r="11" spans="1:23">
      <c r="H11" s="171"/>
      <c r="N11" s="121"/>
      <c r="O11" s="121"/>
      <c r="T11" s="31"/>
    </row>
    <row r="12" spans="1:23">
      <c r="N12" s="121"/>
      <c r="O12" s="121"/>
      <c r="V12" s="231"/>
      <c r="W12" s="231"/>
    </row>
    <row r="13" spans="1:23" s="152" customFormat="1">
      <c r="A13" s="146"/>
      <c r="B13" s="146"/>
      <c r="C13" s="146"/>
      <c r="D13" s="146"/>
      <c r="E13" s="146"/>
      <c r="F13" s="146"/>
      <c r="G13" s="146"/>
      <c r="H13" s="174"/>
      <c r="I13" s="146"/>
      <c r="J13" s="147"/>
      <c r="K13" s="147"/>
      <c r="L13" s="148"/>
      <c r="M13" s="147"/>
      <c r="O13" s="149"/>
      <c r="P13" s="153"/>
      <c r="Q13" s="149">
        <f>SUM(N2:N6)</f>
        <v>10.299999999999999</v>
      </c>
      <c r="R13" s="153"/>
      <c r="S13" s="155"/>
    </row>
    <row r="14" spans="1:23">
      <c r="A14" s="24" t="s">
        <v>212</v>
      </c>
      <c r="B14" s="199" t="s">
        <v>212</v>
      </c>
      <c r="C14" s="199">
        <v>8</v>
      </c>
      <c r="F14" s="199">
        <v>226287</v>
      </c>
      <c r="G14" s="199" t="s">
        <v>217</v>
      </c>
      <c r="H14" s="170"/>
      <c r="J14" s="85">
        <v>4.8</v>
      </c>
      <c r="M14" s="85">
        <v>4.8</v>
      </c>
      <c r="N14" s="121">
        <f>6-M14</f>
        <v>1.2000000000000002</v>
      </c>
      <c r="O14" s="121"/>
    </row>
    <row r="15" spans="1:23">
      <c r="H15" s="170"/>
      <c r="M15" s="122"/>
      <c r="N15" s="121"/>
      <c r="O15" s="123"/>
      <c r="P15" s="123"/>
      <c r="Q15" s="130"/>
    </row>
    <row r="16" spans="1:23">
      <c r="H16" s="170"/>
      <c r="M16" s="121"/>
      <c r="N16" s="135"/>
      <c r="O16" s="121"/>
      <c r="P16" s="121"/>
      <c r="Q16" s="130"/>
      <c r="R16" s="121"/>
      <c r="S16" s="134"/>
    </row>
    <row r="17" spans="1:25">
      <c r="H17" s="170"/>
      <c r="K17" s="85">
        <v>0.75</v>
      </c>
      <c r="L17" s="86">
        <f>SUM(J14:K15)</f>
        <v>4.8</v>
      </c>
      <c r="M17" s="121"/>
      <c r="N17" s="121"/>
      <c r="O17" s="121"/>
      <c r="P17" s="121"/>
      <c r="Q17" s="130"/>
      <c r="R17" s="121"/>
      <c r="S17" s="134"/>
    </row>
    <row r="18" spans="1:25">
      <c r="H18" s="170"/>
      <c r="M18" s="121"/>
      <c r="N18" s="121"/>
      <c r="O18" s="121"/>
      <c r="P18" s="121"/>
      <c r="Q18" s="130"/>
      <c r="R18" s="121">
        <v>11.72</v>
      </c>
      <c r="S18" s="201">
        <v>701</v>
      </c>
      <c r="U18" s="164"/>
      <c r="V18" s="164"/>
      <c r="W18" s="229"/>
      <c r="X18" s="229"/>
      <c r="Y18" s="229"/>
    </row>
    <row r="19" spans="1:25">
      <c r="H19" s="170"/>
      <c r="M19" s="121"/>
      <c r="N19" s="121"/>
      <c r="O19" s="121"/>
      <c r="P19" s="121"/>
      <c r="Q19" s="130"/>
      <c r="R19" s="121"/>
      <c r="S19" s="134"/>
      <c r="U19" s="166"/>
      <c r="V19" s="166"/>
      <c r="W19" s="166"/>
      <c r="X19" s="166"/>
      <c r="Y19" s="166"/>
    </row>
    <row r="20" spans="1:25">
      <c r="H20" s="170"/>
      <c r="M20" s="121"/>
      <c r="N20" s="121"/>
      <c r="O20" s="121"/>
      <c r="P20" s="121"/>
      <c r="Q20" s="130"/>
      <c r="R20" s="121"/>
      <c r="S20" s="134"/>
      <c r="V20" s="31"/>
    </row>
    <row r="21" spans="1:25" s="152" customFormat="1">
      <c r="A21" s="146"/>
      <c r="B21" s="146"/>
      <c r="C21" s="146"/>
      <c r="D21" s="146"/>
      <c r="E21" s="146"/>
      <c r="F21" s="146"/>
      <c r="G21" s="146"/>
      <c r="H21" s="175"/>
      <c r="I21" s="146"/>
      <c r="J21" s="147"/>
      <c r="K21" s="147"/>
      <c r="L21" s="148"/>
      <c r="M21" s="149"/>
      <c r="N21" s="149"/>
      <c r="O21" s="149"/>
      <c r="P21" s="149"/>
      <c r="Q21" s="150"/>
      <c r="R21" s="149"/>
      <c r="S21" s="151"/>
    </row>
    <row r="22" spans="1:25">
      <c r="A22" s="24" t="s">
        <v>9</v>
      </c>
      <c r="B22" s="199" t="s">
        <v>376</v>
      </c>
      <c r="C22" s="199">
        <v>8</v>
      </c>
      <c r="F22" s="199">
        <v>475800</v>
      </c>
      <c r="G22" s="199" t="s">
        <v>377</v>
      </c>
      <c r="H22" s="170"/>
      <c r="J22" s="85">
        <v>5</v>
      </c>
      <c r="M22" s="121">
        <v>0.79</v>
      </c>
      <c r="N22" s="121">
        <f>0.99-M22</f>
        <v>0.19999999999999996</v>
      </c>
      <c r="O22" s="121"/>
      <c r="P22" s="121"/>
      <c r="Q22" s="130"/>
      <c r="R22" s="121"/>
      <c r="S22" s="134"/>
    </row>
    <row r="23" spans="1:25">
      <c r="C23" s="199">
        <v>8</v>
      </c>
      <c r="F23" s="199">
        <v>242616</v>
      </c>
      <c r="G23" s="199" t="s">
        <v>378</v>
      </c>
      <c r="H23" s="170"/>
      <c r="J23" s="85">
        <v>4</v>
      </c>
      <c r="M23" s="121">
        <v>4</v>
      </c>
      <c r="N23" s="121">
        <f>5-M23</f>
        <v>1</v>
      </c>
      <c r="O23" s="121"/>
      <c r="P23" s="121"/>
      <c r="Q23" s="130"/>
      <c r="R23" s="121"/>
      <c r="S23" s="134"/>
    </row>
    <row r="24" spans="1:25">
      <c r="F24" s="132"/>
      <c r="H24" s="170"/>
      <c r="K24" s="85">
        <v>0.75</v>
      </c>
      <c r="L24" s="86">
        <f>SUM(J22:K24)</f>
        <v>9.75</v>
      </c>
      <c r="M24" s="121"/>
      <c r="N24" s="121"/>
      <c r="O24" s="121"/>
      <c r="P24" s="121"/>
      <c r="Q24" s="130">
        <f>+SUM(N14:N23)</f>
        <v>2.4000000000000004</v>
      </c>
      <c r="R24" s="121"/>
      <c r="S24" s="134"/>
    </row>
    <row r="25" spans="1:25" s="166" customFormat="1">
      <c r="A25" s="200"/>
      <c r="B25" s="200"/>
      <c r="C25" s="200"/>
      <c r="D25" s="200"/>
      <c r="E25" s="200"/>
      <c r="F25" s="200"/>
      <c r="G25" s="200"/>
      <c r="H25" s="170"/>
      <c r="I25" s="200"/>
      <c r="J25" s="198"/>
      <c r="K25" s="198"/>
      <c r="L25" s="117"/>
      <c r="M25" s="198"/>
      <c r="N25" s="165"/>
      <c r="O25" s="164"/>
      <c r="P25" s="164"/>
      <c r="Q25" s="178"/>
      <c r="R25" s="164"/>
      <c r="S25" s="142"/>
    </row>
    <row r="26" spans="1:25" s="166" customFormat="1">
      <c r="A26" s="200"/>
      <c r="B26" s="200"/>
      <c r="C26" s="200"/>
      <c r="D26" s="200"/>
      <c r="E26" s="200"/>
      <c r="F26" s="200"/>
      <c r="G26" s="200"/>
      <c r="H26" s="170"/>
      <c r="I26" s="200"/>
      <c r="J26" s="198"/>
      <c r="K26" s="198"/>
      <c r="L26" s="117"/>
      <c r="M26" s="198"/>
      <c r="N26" s="165"/>
      <c r="O26" s="164"/>
      <c r="P26" s="164"/>
      <c r="Q26" s="178"/>
      <c r="R26" s="164"/>
      <c r="S26" s="142"/>
    </row>
    <row r="27" spans="1:25">
      <c r="H27" s="170"/>
      <c r="I27" s="169"/>
      <c r="M27" s="121"/>
      <c r="N27" s="121">
        <v>2.4</v>
      </c>
      <c r="O27" s="121"/>
      <c r="P27" s="121"/>
      <c r="Q27" s="218">
        <f>+SUM(Q10:Q26)</f>
        <v>12.7</v>
      </c>
      <c r="R27" s="121"/>
      <c r="S27" s="134"/>
    </row>
    <row r="28" spans="1:25">
      <c r="I28" s="169"/>
      <c r="J28" s="198"/>
      <c r="K28" s="198"/>
      <c r="M28" s="121"/>
      <c r="N28" s="121"/>
      <c r="O28" s="164"/>
      <c r="P28" s="121"/>
      <c r="Q28" s="130"/>
      <c r="R28" s="121"/>
      <c r="S28" s="134"/>
    </row>
    <row r="29" spans="1:25">
      <c r="H29" s="170"/>
      <c r="I29" s="169"/>
      <c r="J29" s="198"/>
      <c r="K29" s="198"/>
      <c r="M29" s="121"/>
      <c r="N29" s="121"/>
      <c r="O29" s="121"/>
      <c r="P29" s="121"/>
      <c r="Q29" s="130"/>
      <c r="R29" s="121"/>
      <c r="S29" s="134"/>
    </row>
    <row r="30" spans="1:25">
      <c r="F30" s="132"/>
      <c r="H30" s="170"/>
      <c r="J30" s="198"/>
      <c r="K30" s="198"/>
      <c r="M30" s="121"/>
      <c r="N30" s="121"/>
      <c r="O30" s="121"/>
      <c r="P30" s="121"/>
      <c r="Q30" s="130"/>
      <c r="R30" s="121"/>
      <c r="S30" s="134"/>
    </row>
    <row r="31" spans="1:25">
      <c r="F31" s="132"/>
      <c r="H31" s="170"/>
      <c r="J31" s="198"/>
      <c r="K31" s="198"/>
      <c r="N31" s="121"/>
      <c r="O31" s="121"/>
      <c r="P31" s="121"/>
      <c r="Q31" s="130"/>
      <c r="R31" s="121"/>
      <c r="S31" s="134"/>
    </row>
    <row r="32" spans="1:25">
      <c r="H32" s="170"/>
      <c r="J32" s="198"/>
      <c r="K32" s="198"/>
      <c r="M32" s="121"/>
      <c r="N32" s="121"/>
      <c r="O32" s="121"/>
      <c r="P32" s="121"/>
      <c r="Q32" s="130"/>
      <c r="R32" s="121"/>
      <c r="S32" s="134"/>
    </row>
    <row r="33" spans="1:20">
      <c r="H33" s="170"/>
      <c r="J33" s="198"/>
      <c r="K33" s="198"/>
      <c r="M33" s="121"/>
      <c r="N33" s="121"/>
      <c r="O33" s="121"/>
      <c r="P33" s="121"/>
      <c r="Q33" s="130"/>
      <c r="R33" s="121"/>
      <c r="S33" s="134"/>
    </row>
    <row r="34" spans="1:20">
      <c r="H34" s="170"/>
      <c r="J34" s="198"/>
      <c r="K34" s="198"/>
      <c r="M34" s="121"/>
      <c r="N34" s="121"/>
      <c r="O34" s="121"/>
      <c r="P34" s="121"/>
      <c r="Q34" s="130"/>
      <c r="R34" s="121"/>
      <c r="S34" s="134"/>
    </row>
    <row r="35" spans="1:20">
      <c r="H35" s="170"/>
      <c r="J35" s="198"/>
      <c r="K35" s="198"/>
      <c r="L35" s="86">
        <f>SUM(L2:L34)</f>
        <v>66.03</v>
      </c>
      <c r="M35" s="121"/>
      <c r="N35" s="121"/>
      <c r="O35" s="121"/>
      <c r="P35" s="121"/>
      <c r="Q35" s="130"/>
      <c r="R35" s="121"/>
      <c r="S35" s="134"/>
    </row>
    <row r="36" spans="1:20">
      <c r="H36" s="170"/>
      <c r="J36" s="198"/>
      <c r="K36" s="198"/>
      <c r="M36" s="121"/>
      <c r="N36" s="121"/>
      <c r="O36" s="121"/>
      <c r="P36" s="121"/>
      <c r="Q36" s="130"/>
      <c r="R36" s="121"/>
      <c r="S36" s="134"/>
    </row>
    <row r="37" spans="1:20">
      <c r="F37" s="132"/>
      <c r="H37" s="170"/>
      <c r="J37" s="198"/>
      <c r="K37" s="198"/>
      <c r="M37" s="121"/>
      <c r="N37" s="121"/>
      <c r="O37" s="121"/>
      <c r="P37" s="121"/>
      <c r="Q37" s="130"/>
      <c r="R37" s="121"/>
      <c r="S37" s="134"/>
    </row>
    <row r="38" spans="1:20">
      <c r="H38" s="170"/>
      <c r="M38" s="121"/>
      <c r="N38" s="121"/>
      <c r="O38" s="121"/>
      <c r="P38" s="121"/>
      <c r="Q38" s="130"/>
      <c r="R38" s="121"/>
      <c r="S38" s="134"/>
    </row>
    <row r="39" spans="1:20">
      <c r="M39" s="121"/>
      <c r="N39" s="121"/>
      <c r="O39" s="121"/>
      <c r="P39" s="121"/>
      <c r="Q39" s="130"/>
      <c r="R39" s="121"/>
      <c r="S39" s="134"/>
    </row>
    <row r="40" spans="1:20">
      <c r="J40" s="196"/>
      <c r="K40" s="196"/>
      <c r="L40" s="156"/>
      <c r="M40" s="121"/>
      <c r="N40" s="121"/>
      <c r="O40" s="121"/>
      <c r="P40" s="121"/>
      <c r="Q40" s="130"/>
      <c r="R40" s="121"/>
      <c r="S40" s="134"/>
    </row>
    <row r="41" spans="1:20">
      <c r="M41" s="121"/>
      <c r="N41" s="121"/>
      <c r="O41" s="121"/>
      <c r="P41" s="121"/>
      <c r="Q41" s="130"/>
      <c r="R41" s="121"/>
      <c r="S41" s="134"/>
    </row>
    <row r="42" spans="1:20">
      <c r="M42" s="121"/>
      <c r="N42" s="121"/>
      <c r="O42" s="121"/>
      <c r="P42" s="121"/>
      <c r="Q42" s="130"/>
      <c r="R42" s="121"/>
      <c r="S42" s="134"/>
    </row>
    <row r="43" spans="1:20">
      <c r="M43" s="121"/>
      <c r="N43" s="121"/>
      <c r="O43" s="121"/>
      <c r="P43" s="121"/>
      <c r="Q43" s="130"/>
      <c r="R43" s="121"/>
      <c r="S43" s="134"/>
    </row>
    <row r="44" spans="1:20">
      <c r="M44" s="121"/>
      <c r="N44" s="121"/>
      <c r="O44" s="121"/>
      <c r="P44" s="121"/>
      <c r="Q44" s="130"/>
      <c r="R44" s="121"/>
      <c r="S44" s="134"/>
    </row>
    <row r="45" spans="1:20">
      <c r="M45" s="121"/>
      <c r="N45" s="121"/>
      <c r="O45" s="121"/>
      <c r="P45" s="121"/>
      <c r="Q45" s="130"/>
      <c r="R45" s="121"/>
      <c r="S45" s="134"/>
    </row>
    <row r="46" spans="1:20">
      <c r="M46" s="121"/>
      <c r="N46" s="164"/>
      <c r="O46" s="121"/>
      <c r="P46" s="121"/>
      <c r="Q46" s="130"/>
      <c r="R46" s="121"/>
      <c r="S46" s="134"/>
    </row>
    <row r="47" spans="1:20" s="94" customFormat="1" ht="19.5">
      <c r="A47" s="87"/>
      <c r="B47" s="88"/>
      <c r="C47" s="88"/>
      <c r="D47" s="89"/>
      <c r="E47" s="89"/>
      <c r="F47" s="89"/>
      <c r="G47" s="89"/>
      <c r="H47" s="167"/>
      <c r="I47" s="89"/>
      <c r="J47" s="90"/>
      <c r="K47" s="91"/>
      <c r="L47" s="92"/>
      <c r="M47" s="91"/>
      <c r="N47" s="93"/>
      <c r="O47" s="135"/>
      <c r="P47" s="93"/>
      <c r="Q47" s="131"/>
      <c r="R47" s="112"/>
      <c r="S47" s="95"/>
      <c r="T47" s="96"/>
    </row>
    <row r="48" spans="1:20">
      <c r="F48" s="132"/>
      <c r="H48" s="171"/>
    </row>
    <row r="49" spans="1:19">
      <c r="F49" s="132"/>
      <c r="H49" s="171"/>
    </row>
    <row r="51" spans="1:19">
      <c r="N51" s="176"/>
      <c r="Q51" s="136"/>
    </row>
    <row r="52" spans="1:19" s="94" customFormat="1">
      <c r="A52" s="137"/>
      <c r="B52" s="138"/>
      <c r="C52" s="138"/>
      <c r="D52" s="138"/>
      <c r="E52" s="138"/>
      <c r="F52" s="138"/>
      <c r="G52" s="138"/>
      <c r="H52" s="167"/>
      <c r="I52" s="138"/>
      <c r="J52" s="139"/>
      <c r="K52" s="139"/>
      <c r="L52" s="140"/>
      <c r="M52" s="139"/>
      <c r="N52" s="112"/>
      <c r="O52" s="112"/>
      <c r="P52" s="112"/>
      <c r="Q52" s="129"/>
      <c r="R52" s="112"/>
      <c r="S52" s="95"/>
    </row>
    <row r="53" spans="1:19">
      <c r="H53" s="171"/>
    </row>
    <row r="54" spans="1:19">
      <c r="H54" s="171"/>
      <c r="J54" s="141"/>
      <c r="K54" s="141"/>
      <c r="S54" s="23"/>
    </row>
    <row r="55" spans="1:19">
      <c r="H55" s="171"/>
    </row>
    <row r="56" spans="1:19">
      <c r="H56" s="171"/>
    </row>
    <row r="57" spans="1:19">
      <c r="F57" s="132"/>
      <c r="H57" s="171"/>
      <c r="J57" s="141"/>
      <c r="K57" s="141"/>
      <c r="L57" s="142"/>
    </row>
    <row r="58" spans="1:19">
      <c r="F58" s="132"/>
      <c r="H58" s="171"/>
    </row>
    <row r="59" spans="1:19">
      <c r="H59" s="171"/>
    </row>
    <row r="60" spans="1:19">
      <c r="F60" s="132"/>
      <c r="H60" s="171"/>
    </row>
    <row r="61" spans="1:19">
      <c r="N61" s="176"/>
    </row>
    <row r="62" spans="1:19" s="94" customFormat="1">
      <c r="A62" s="137"/>
      <c r="B62" s="138"/>
      <c r="C62" s="138"/>
      <c r="D62" s="138"/>
      <c r="E62" s="138"/>
      <c r="F62" s="138"/>
      <c r="G62" s="138"/>
      <c r="H62" s="167"/>
      <c r="I62" s="138"/>
      <c r="J62" s="139"/>
      <c r="K62" s="139"/>
      <c r="L62" s="140"/>
      <c r="M62" s="139"/>
      <c r="N62" s="112"/>
      <c r="O62" s="112"/>
      <c r="P62" s="112"/>
      <c r="Q62" s="129"/>
      <c r="R62" s="112"/>
      <c r="S62" s="95"/>
    </row>
    <row r="63" spans="1:19">
      <c r="H63" s="171"/>
      <c r="J63" s="198"/>
      <c r="K63" s="198"/>
      <c r="L63" s="117"/>
      <c r="M63" s="198"/>
    </row>
    <row r="64" spans="1:19">
      <c r="H64" s="171"/>
      <c r="J64" s="198"/>
      <c r="K64" s="198"/>
      <c r="L64" s="117"/>
      <c r="M64" s="198"/>
    </row>
    <row r="65" spans="10:18">
      <c r="J65" s="198"/>
      <c r="K65" s="198"/>
      <c r="L65" s="117"/>
      <c r="M65" s="198"/>
    </row>
    <row r="66" spans="10:18">
      <c r="J66" s="141"/>
      <c r="K66" s="141"/>
      <c r="L66" s="142"/>
      <c r="M66" s="141"/>
    </row>
    <row r="67" spans="10:18">
      <c r="J67" s="198"/>
      <c r="K67" s="198"/>
      <c r="L67" s="117"/>
      <c r="M67" s="198"/>
    </row>
    <row r="70" spans="10:18">
      <c r="R70" s="159"/>
    </row>
    <row r="73" spans="10:18">
      <c r="L73" s="156"/>
    </row>
    <row r="85" spans="1:5">
      <c r="A85" s="228"/>
      <c r="B85" s="228"/>
      <c r="C85" s="228"/>
      <c r="D85" s="228"/>
      <c r="E85" s="85"/>
    </row>
    <row r="145" spans="23:23">
      <c r="W145" t="s">
        <v>372</v>
      </c>
    </row>
  </sheetData>
  <mergeCells count="3">
    <mergeCell ref="V12:W12"/>
    <mergeCell ref="W18:Y18"/>
    <mergeCell ref="A85:D8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/>
  <dimension ref="A1:T145"/>
  <sheetViews>
    <sheetView topLeftCell="E15" workbookViewId="0">
      <selection activeCell="L38" sqref="L38"/>
    </sheetView>
  </sheetViews>
  <sheetFormatPr defaultRowHeight="15"/>
  <cols>
    <col min="1" max="1" width="17.140625" style="203" customWidth="1"/>
    <col min="2" max="2" width="22" style="203" customWidth="1"/>
    <col min="3" max="3" width="12.85546875" style="203" customWidth="1"/>
    <col min="4" max="4" width="8" style="203" customWidth="1"/>
    <col min="5" max="5" width="14.28515625" style="203" customWidth="1"/>
    <col min="6" max="6" width="32.85546875" style="203" customWidth="1"/>
    <col min="7" max="7" width="14.28515625" style="85" customWidth="1"/>
    <col min="8" max="8" width="9.42578125" style="85" customWidth="1"/>
    <col min="9" max="9" width="9.5703125" style="86" customWidth="1"/>
    <col min="10" max="10" width="9.140625" style="85" customWidth="1"/>
    <col min="11" max="11" width="11.7109375" style="16" customWidth="1"/>
    <col min="12" max="12" width="12" style="129" customWidth="1"/>
    <col min="13" max="13" width="13" style="16" customWidth="1"/>
    <col min="14" max="14" width="17.5703125" style="14" customWidth="1"/>
  </cols>
  <sheetData>
    <row r="1" spans="1:18" ht="39">
      <c r="A1" s="2" t="s">
        <v>0</v>
      </c>
      <c r="B1" s="2" t="s">
        <v>23</v>
      </c>
      <c r="C1" s="2" t="s">
        <v>405</v>
      </c>
      <c r="D1" s="3" t="s">
        <v>2</v>
      </c>
      <c r="E1" s="3" t="s">
        <v>3</v>
      </c>
      <c r="F1" s="3" t="s">
        <v>4</v>
      </c>
      <c r="G1" s="4" t="s">
        <v>7</v>
      </c>
      <c r="H1" s="4" t="s">
        <v>17</v>
      </c>
      <c r="I1" s="17" t="s">
        <v>8</v>
      </c>
      <c r="J1" s="4" t="s">
        <v>63</v>
      </c>
      <c r="K1" s="114">
        <v>0.2</v>
      </c>
      <c r="L1" s="211" t="s">
        <v>270</v>
      </c>
      <c r="M1" s="111" t="s">
        <v>18</v>
      </c>
      <c r="N1" s="19" t="s">
        <v>19</v>
      </c>
      <c r="O1" s="212"/>
      <c r="P1" s="166"/>
      <c r="Q1" s="166"/>
    </row>
    <row r="2" spans="1:18">
      <c r="A2" s="24" t="s">
        <v>56</v>
      </c>
      <c r="B2" s="203" t="s">
        <v>56</v>
      </c>
      <c r="C2" s="203">
        <v>10</v>
      </c>
      <c r="E2" s="132">
        <v>393951</v>
      </c>
      <c r="F2" s="213" t="s">
        <v>385</v>
      </c>
      <c r="G2" s="85">
        <v>3.99</v>
      </c>
      <c r="J2" s="85">
        <v>3.19</v>
      </c>
      <c r="K2" s="16">
        <f>3.99-3.19</f>
        <v>0.80000000000000027</v>
      </c>
      <c r="L2" s="205"/>
    </row>
    <row r="3" spans="1:18">
      <c r="C3" s="203">
        <v>10</v>
      </c>
      <c r="E3" s="203">
        <v>573422</v>
      </c>
      <c r="F3" s="213" t="s">
        <v>386</v>
      </c>
      <c r="G3" s="85">
        <v>4.99</v>
      </c>
      <c r="J3" s="85">
        <v>3.99</v>
      </c>
      <c r="K3" s="16">
        <f>4.99-3.99</f>
        <v>1</v>
      </c>
      <c r="L3" s="205"/>
      <c r="O3" s="163"/>
      <c r="P3" s="164"/>
      <c r="Q3" s="164"/>
      <c r="R3" s="165"/>
    </row>
    <row r="4" spans="1:18">
      <c r="C4" s="203">
        <v>10</v>
      </c>
      <c r="E4" s="132" t="s">
        <v>379</v>
      </c>
      <c r="F4" s="213" t="s">
        <v>387</v>
      </c>
      <c r="G4" s="85">
        <v>5.99</v>
      </c>
      <c r="J4" s="85">
        <v>4.79</v>
      </c>
      <c r="K4" s="16">
        <f>5.99-J4</f>
        <v>1.2000000000000002</v>
      </c>
      <c r="L4" s="205"/>
    </row>
    <row r="5" spans="1:18">
      <c r="C5" s="203">
        <v>10</v>
      </c>
      <c r="E5" s="132" t="s">
        <v>380</v>
      </c>
      <c r="F5" s="213" t="s">
        <v>388</v>
      </c>
      <c r="G5" s="85">
        <v>9.99</v>
      </c>
      <c r="J5" s="120">
        <v>7.99</v>
      </c>
      <c r="K5" s="121">
        <f>G5-J5</f>
        <v>2</v>
      </c>
      <c r="L5" s="205"/>
    </row>
    <row r="6" spans="1:18">
      <c r="C6" s="203">
        <v>10</v>
      </c>
      <c r="E6" s="203">
        <v>517223</v>
      </c>
      <c r="F6" s="203" t="s">
        <v>389</v>
      </c>
      <c r="G6" s="85">
        <v>12.99</v>
      </c>
      <c r="L6" s="205"/>
    </row>
    <row r="7" spans="1:18">
      <c r="C7" s="203">
        <v>10</v>
      </c>
      <c r="E7" s="203">
        <v>226526</v>
      </c>
      <c r="F7" s="213" t="s">
        <v>390</v>
      </c>
      <c r="G7" s="85">
        <v>6.99</v>
      </c>
      <c r="J7" s="121">
        <v>5.59</v>
      </c>
      <c r="K7" s="121">
        <f>6.99-J7</f>
        <v>1.4000000000000004</v>
      </c>
      <c r="L7" s="205"/>
    </row>
    <row r="8" spans="1:18">
      <c r="E8" s="132" t="s">
        <v>398</v>
      </c>
      <c r="F8" s="203" t="s">
        <v>399</v>
      </c>
      <c r="G8" s="85">
        <v>9.99</v>
      </c>
      <c r="K8" s="121"/>
      <c r="L8" s="205"/>
    </row>
    <row r="9" spans="1:18">
      <c r="E9" s="203">
        <v>124893</v>
      </c>
      <c r="F9" s="213" t="s">
        <v>400</v>
      </c>
      <c r="G9" s="85">
        <v>1.49</v>
      </c>
      <c r="K9" s="121"/>
      <c r="L9" s="205"/>
    </row>
    <row r="10" spans="1:18">
      <c r="E10" s="203">
        <v>947027</v>
      </c>
      <c r="F10" s="203" t="s">
        <v>407</v>
      </c>
      <c r="G10" s="85">
        <v>14.99</v>
      </c>
      <c r="H10" s="85">
        <v>0.75</v>
      </c>
      <c r="I10" s="156">
        <f>SUM(G2:H8)</f>
        <v>54.930000000000007</v>
      </c>
      <c r="J10" s="85">
        <f>8.99</f>
        <v>8.99</v>
      </c>
      <c r="K10" s="121">
        <f>14.99-8.99</f>
        <v>6</v>
      </c>
      <c r="L10" s="205"/>
    </row>
    <row r="11" spans="1:18">
      <c r="K11" s="121"/>
      <c r="L11" s="205"/>
      <c r="O11" s="31"/>
    </row>
    <row r="12" spans="1:18">
      <c r="K12" s="121"/>
      <c r="L12" s="205"/>
      <c r="Q12" s="231"/>
      <c r="R12" s="231"/>
    </row>
    <row r="13" spans="1:18" s="152" customFormat="1">
      <c r="A13" s="146"/>
      <c r="B13" s="146"/>
      <c r="C13" s="146"/>
      <c r="D13" s="146"/>
      <c r="E13" s="146"/>
      <c r="F13" s="146"/>
      <c r="G13" s="147"/>
      <c r="H13" s="147"/>
      <c r="I13" s="148"/>
      <c r="J13" s="147"/>
      <c r="L13" s="149">
        <f>SUM(K2:K10)</f>
        <v>12.4</v>
      </c>
      <c r="M13" s="153"/>
      <c r="N13" s="155"/>
    </row>
    <row r="14" spans="1:18">
      <c r="A14" s="24" t="s">
        <v>64</v>
      </c>
      <c r="B14" s="203" t="s">
        <v>64</v>
      </c>
      <c r="C14" s="203">
        <v>10</v>
      </c>
      <c r="E14" s="132" t="s">
        <v>381</v>
      </c>
      <c r="F14" s="213" t="s">
        <v>143</v>
      </c>
      <c r="G14" s="85">
        <v>2.99</v>
      </c>
      <c r="J14" s="85">
        <v>2.39</v>
      </c>
      <c r="K14" s="121">
        <f>2.99-J14</f>
        <v>0.60000000000000009</v>
      </c>
      <c r="L14" s="205"/>
    </row>
    <row r="15" spans="1:18">
      <c r="E15" s="203">
        <v>433535</v>
      </c>
      <c r="F15" s="203" t="s">
        <v>382</v>
      </c>
      <c r="G15" s="85">
        <v>9.99</v>
      </c>
      <c r="I15" s="194"/>
      <c r="J15" s="120"/>
      <c r="K15" s="134"/>
      <c r="L15" s="206"/>
    </row>
    <row r="16" spans="1:18">
      <c r="D16" s="203">
        <v>2</v>
      </c>
      <c r="E16" s="203">
        <v>242453</v>
      </c>
      <c r="F16" s="213" t="s">
        <v>383</v>
      </c>
      <c r="G16" s="85">
        <f>9.99*2</f>
        <v>19.98</v>
      </c>
      <c r="J16" s="121">
        <v>15.98</v>
      </c>
      <c r="K16" s="121">
        <f>19.98-15.98</f>
        <v>4</v>
      </c>
      <c r="L16" s="207"/>
      <c r="M16" s="121"/>
      <c r="N16" s="134"/>
    </row>
    <row r="17" spans="1:20">
      <c r="E17" s="203">
        <v>939960</v>
      </c>
      <c r="F17" s="203" t="s">
        <v>384</v>
      </c>
      <c r="G17" s="85">
        <v>24.99</v>
      </c>
      <c r="H17" s="85">
        <v>0.75</v>
      </c>
      <c r="I17" s="156">
        <f>SUM(G13:H17)-G17-G15</f>
        <v>23.720000000000006</v>
      </c>
      <c r="J17" s="121"/>
      <c r="K17" s="121"/>
      <c r="L17" s="207"/>
      <c r="M17" s="121"/>
      <c r="N17" s="134"/>
    </row>
    <row r="18" spans="1:20">
      <c r="J18" s="121"/>
      <c r="K18" s="121"/>
      <c r="L18" s="207"/>
      <c r="M18" s="121"/>
      <c r="N18" s="201"/>
      <c r="P18" s="164"/>
      <c r="Q18" s="164"/>
      <c r="R18" s="229"/>
      <c r="S18" s="229"/>
      <c r="T18" s="229"/>
    </row>
    <row r="19" spans="1:20">
      <c r="J19" s="121"/>
      <c r="K19" s="121"/>
      <c r="L19" s="207"/>
      <c r="M19" s="121"/>
      <c r="N19" s="134"/>
      <c r="P19" s="166"/>
      <c r="Q19" s="166"/>
      <c r="R19" s="166"/>
      <c r="S19" s="166"/>
      <c r="T19" s="166"/>
    </row>
    <row r="20" spans="1:20">
      <c r="J20" s="121"/>
      <c r="K20" s="121"/>
      <c r="L20" s="207"/>
      <c r="M20" s="121"/>
      <c r="N20" s="134"/>
      <c r="Q20" s="31"/>
    </row>
    <row r="21" spans="1:20" s="152" customFormat="1">
      <c r="A21" s="146"/>
      <c r="B21" s="146"/>
      <c r="C21" s="146"/>
      <c r="D21" s="146"/>
      <c r="E21" s="146"/>
      <c r="F21" s="146"/>
      <c r="G21" s="147"/>
      <c r="H21" s="147"/>
      <c r="I21" s="148"/>
      <c r="J21" s="149"/>
      <c r="L21" s="149">
        <f>+SUM(K14:K20)</f>
        <v>4.5999999999999996</v>
      </c>
      <c r="M21" s="149"/>
      <c r="N21" s="151"/>
    </row>
    <row r="22" spans="1:20">
      <c r="A22" s="24" t="s">
        <v>9</v>
      </c>
      <c r="B22" s="203" t="s">
        <v>391</v>
      </c>
      <c r="C22" s="203">
        <v>10</v>
      </c>
      <c r="E22" s="203">
        <v>201147</v>
      </c>
      <c r="F22" s="213" t="s">
        <v>396</v>
      </c>
      <c r="G22" s="85">
        <v>5.99</v>
      </c>
      <c r="H22" s="85">
        <v>0.75</v>
      </c>
      <c r="I22" s="156">
        <f>SUM(G22:H23)</f>
        <v>6.74</v>
      </c>
      <c r="J22" s="121">
        <v>4.79</v>
      </c>
      <c r="K22" s="121">
        <f>5.99-4.79</f>
        <v>1.2000000000000002</v>
      </c>
      <c r="L22" s="207"/>
      <c r="M22" s="121"/>
      <c r="N22" s="134"/>
    </row>
    <row r="23" spans="1:20">
      <c r="J23" s="121"/>
      <c r="K23" s="121"/>
      <c r="L23" s="207"/>
      <c r="M23" s="121"/>
      <c r="N23" s="134"/>
    </row>
    <row r="24" spans="1:20">
      <c r="B24" s="203" t="s">
        <v>392</v>
      </c>
      <c r="C24" s="203">
        <v>10</v>
      </c>
      <c r="E24" s="203">
        <v>126370</v>
      </c>
      <c r="F24" s="203" t="s">
        <v>260</v>
      </c>
      <c r="G24" s="85">
        <f>10/5</f>
        <v>2</v>
      </c>
      <c r="J24" s="121">
        <v>1.6</v>
      </c>
      <c r="K24" s="121">
        <f>2-J24</f>
        <v>0.39999999999999991</v>
      </c>
      <c r="L24" s="207"/>
      <c r="M24" s="121"/>
      <c r="N24" s="134"/>
    </row>
    <row r="25" spans="1:20" s="166" customFormat="1">
      <c r="A25" s="204"/>
      <c r="B25" s="204"/>
      <c r="C25" s="204"/>
      <c r="D25" s="204"/>
      <c r="E25" s="203">
        <v>967643</v>
      </c>
      <c r="F25" s="203" t="s">
        <v>260</v>
      </c>
      <c r="G25" s="85">
        <f t="shared" ref="G25:G28" si="0">10/5</f>
        <v>2</v>
      </c>
      <c r="H25" s="202"/>
      <c r="I25" s="117"/>
      <c r="J25" s="121">
        <v>1.6</v>
      </c>
      <c r="K25" s="121">
        <f t="shared" ref="K25:K29" si="1">2-J25</f>
        <v>0.39999999999999991</v>
      </c>
      <c r="L25" s="208"/>
      <c r="M25" s="164"/>
      <c r="N25" s="142"/>
    </row>
    <row r="26" spans="1:20" s="166" customFormat="1">
      <c r="A26" s="204"/>
      <c r="B26" s="204"/>
      <c r="C26" s="204"/>
      <c r="D26" s="204"/>
      <c r="E26" s="132" t="s">
        <v>393</v>
      </c>
      <c r="F26" s="203" t="s">
        <v>260</v>
      </c>
      <c r="G26" s="85">
        <f t="shared" si="0"/>
        <v>2</v>
      </c>
      <c r="H26" s="202"/>
      <c r="I26" s="117"/>
      <c r="J26" s="121">
        <v>1.6</v>
      </c>
      <c r="K26" s="121">
        <f t="shared" si="1"/>
        <v>0.39999999999999991</v>
      </c>
      <c r="L26" s="208"/>
      <c r="M26" s="164"/>
      <c r="N26" s="142"/>
    </row>
    <row r="27" spans="1:20">
      <c r="E27" s="132" t="s">
        <v>394</v>
      </c>
      <c r="F27" s="203" t="s">
        <v>260</v>
      </c>
      <c r="G27" s="85">
        <f t="shared" si="0"/>
        <v>2</v>
      </c>
      <c r="J27" s="121">
        <v>1.6</v>
      </c>
      <c r="K27" s="121">
        <f t="shared" si="1"/>
        <v>0.39999999999999991</v>
      </c>
      <c r="L27" s="207"/>
      <c r="M27" s="121"/>
      <c r="N27" s="134"/>
    </row>
    <row r="28" spans="1:20">
      <c r="E28" s="132" t="s">
        <v>395</v>
      </c>
      <c r="F28" s="203" t="s">
        <v>260</v>
      </c>
      <c r="G28" s="85">
        <f t="shared" si="0"/>
        <v>2</v>
      </c>
      <c r="H28" s="202"/>
      <c r="J28" s="121">
        <v>1.6</v>
      </c>
      <c r="K28" s="121">
        <f t="shared" si="1"/>
        <v>0.39999999999999991</v>
      </c>
      <c r="L28" s="207"/>
      <c r="M28" s="121"/>
      <c r="N28" s="134"/>
    </row>
    <row r="29" spans="1:20">
      <c r="E29" s="203">
        <v>962436</v>
      </c>
      <c r="F29" s="203" t="s">
        <v>397</v>
      </c>
      <c r="G29" s="202">
        <v>3.99</v>
      </c>
      <c r="H29" s="202">
        <v>0.75</v>
      </c>
      <c r="I29" s="156">
        <f>SUM(G24:H29)</f>
        <v>14.74</v>
      </c>
      <c r="J29" s="121">
        <v>1.6</v>
      </c>
      <c r="K29" s="121">
        <f t="shared" si="1"/>
        <v>0.39999999999999991</v>
      </c>
      <c r="L29" s="207"/>
      <c r="M29" s="121"/>
      <c r="N29" s="134"/>
    </row>
    <row r="30" spans="1:20">
      <c r="E30" s="132"/>
      <c r="G30" s="202"/>
      <c r="H30" s="202"/>
      <c r="J30" s="121"/>
      <c r="K30" s="121"/>
      <c r="L30" s="207"/>
      <c r="M30" s="121"/>
      <c r="N30" s="134"/>
    </row>
    <row r="31" spans="1:20" s="152" customFormat="1">
      <c r="A31" s="146"/>
      <c r="B31" s="146"/>
      <c r="C31" s="146"/>
      <c r="D31" s="146"/>
      <c r="E31" s="146"/>
      <c r="F31" s="146"/>
      <c r="G31" s="147"/>
      <c r="H31" s="147"/>
      <c r="I31" s="148"/>
      <c r="J31" s="149"/>
      <c r="L31" s="149">
        <f>SUM(K22:K29)</f>
        <v>3.5999999999999996</v>
      </c>
      <c r="M31" s="149"/>
      <c r="N31" s="151"/>
    </row>
    <row r="32" spans="1:20">
      <c r="A32" s="24" t="s">
        <v>24</v>
      </c>
      <c r="B32" s="203" t="s">
        <v>24</v>
      </c>
      <c r="C32" s="203">
        <v>10</v>
      </c>
      <c r="E32" s="203">
        <v>870432</v>
      </c>
      <c r="F32" s="213" t="s">
        <v>402</v>
      </c>
      <c r="G32" s="202">
        <v>7.99</v>
      </c>
      <c r="H32" s="202"/>
      <c r="J32" s="121">
        <v>3.19</v>
      </c>
      <c r="K32" s="121">
        <f>3.99-J32</f>
        <v>0.80000000000000027</v>
      </c>
      <c r="L32" s="207"/>
      <c r="M32" s="121"/>
      <c r="N32" s="134"/>
    </row>
    <row r="33" spans="1:15">
      <c r="E33" s="132" t="s">
        <v>401</v>
      </c>
      <c r="F33" s="213" t="s">
        <v>403</v>
      </c>
      <c r="G33" s="202">
        <v>7.99</v>
      </c>
      <c r="H33" s="202"/>
      <c r="J33" s="121">
        <v>3.19</v>
      </c>
      <c r="K33" s="121">
        <f>3.99-J33</f>
        <v>0.80000000000000027</v>
      </c>
      <c r="L33" s="207"/>
      <c r="M33" s="121"/>
      <c r="N33" s="134"/>
    </row>
    <row r="34" spans="1:15">
      <c r="D34" s="203">
        <v>2</v>
      </c>
      <c r="E34" s="203">
        <v>400242</v>
      </c>
      <c r="F34" s="213" t="s">
        <v>404</v>
      </c>
      <c r="G34" s="202"/>
      <c r="H34" s="202">
        <v>0.75</v>
      </c>
      <c r="I34" s="156">
        <f>SUM(G32:H34)</f>
        <v>16.73</v>
      </c>
      <c r="J34" s="121">
        <v>4.78</v>
      </c>
      <c r="K34" s="121">
        <f>5.98-J34</f>
        <v>1.2000000000000002</v>
      </c>
      <c r="L34" s="207"/>
      <c r="M34" s="121"/>
      <c r="N34" s="134"/>
    </row>
    <row r="35" spans="1:15">
      <c r="G35" s="202"/>
      <c r="H35" s="202"/>
      <c r="J35" s="121"/>
      <c r="K35" s="121"/>
      <c r="L35" s="207"/>
      <c r="M35" s="121"/>
      <c r="N35" s="134"/>
    </row>
    <row r="36" spans="1:15" s="152" customFormat="1">
      <c r="A36" s="146"/>
      <c r="B36" s="146"/>
      <c r="C36" s="146"/>
      <c r="D36" s="146"/>
      <c r="E36" s="146"/>
      <c r="F36" s="146"/>
      <c r="G36" s="147"/>
      <c r="H36" s="147"/>
      <c r="I36" s="148"/>
      <c r="J36" s="149"/>
      <c r="L36" s="149">
        <f>SUM(K32:K34)</f>
        <v>2.8000000000000007</v>
      </c>
      <c r="M36" s="149"/>
      <c r="N36" s="151"/>
    </row>
    <row r="37" spans="1:15">
      <c r="A37" s="24" t="s">
        <v>212</v>
      </c>
      <c r="B37" s="203" t="s">
        <v>406</v>
      </c>
      <c r="E37" s="132"/>
      <c r="G37" s="202">
        <v>7.99</v>
      </c>
      <c r="H37" s="202"/>
      <c r="J37" s="121"/>
      <c r="K37" s="121"/>
      <c r="L37" s="207"/>
      <c r="M37" s="121"/>
      <c r="N37" s="134"/>
    </row>
    <row r="38" spans="1:15">
      <c r="H38" s="85">
        <v>7.99</v>
      </c>
      <c r="J38" s="121"/>
      <c r="K38" s="121"/>
      <c r="L38" s="219">
        <f>+SUM(L3:L37)</f>
        <v>23.400000000000002</v>
      </c>
      <c r="M38" s="121"/>
      <c r="N38" s="134">
        <v>7.99</v>
      </c>
    </row>
    <row r="39" spans="1:15">
      <c r="J39" s="121"/>
      <c r="K39" s="121"/>
      <c r="L39" s="207"/>
      <c r="M39" s="121"/>
      <c r="N39" s="134"/>
    </row>
    <row r="40" spans="1:15">
      <c r="G40" s="196"/>
      <c r="H40" s="196"/>
      <c r="I40" s="156"/>
      <c r="J40" s="121"/>
      <c r="K40" s="121"/>
      <c r="L40" s="207"/>
      <c r="M40" s="121"/>
      <c r="N40" s="134"/>
    </row>
    <row r="41" spans="1:15">
      <c r="J41" s="121"/>
      <c r="K41" s="121"/>
      <c r="L41" s="207"/>
      <c r="M41" s="121"/>
      <c r="N41" s="134"/>
    </row>
    <row r="42" spans="1:15">
      <c r="J42" s="121"/>
      <c r="K42" s="121"/>
      <c r="L42" s="207"/>
      <c r="M42" s="121"/>
      <c r="N42" s="134"/>
    </row>
    <row r="43" spans="1:15">
      <c r="J43" s="121"/>
      <c r="K43" s="121"/>
      <c r="L43" s="207"/>
      <c r="M43" s="121"/>
      <c r="N43" s="134"/>
    </row>
    <row r="44" spans="1:15">
      <c r="J44" s="121"/>
      <c r="K44" s="121"/>
      <c r="L44" s="207"/>
      <c r="M44" s="121"/>
      <c r="N44" s="134"/>
    </row>
    <row r="45" spans="1:15">
      <c r="J45" s="121"/>
      <c r="K45" s="121"/>
      <c r="L45" s="207"/>
      <c r="M45" s="121"/>
      <c r="N45" s="134"/>
    </row>
    <row r="46" spans="1:15">
      <c r="J46" s="121"/>
      <c r="K46" s="121"/>
      <c r="L46" s="207"/>
      <c r="M46" s="121"/>
      <c r="N46" s="134"/>
    </row>
    <row r="47" spans="1:15" s="94" customFormat="1" ht="19.5">
      <c r="A47" s="87"/>
      <c r="B47" s="88"/>
      <c r="C47" s="88"/>
      <c r="D47" s="89"/>
      <c r="E47" s="89"/>
      <c r="F47" s="89"/>
      <c r="G47" s="90"/>
      <c r="H47" s="91"/>
      <c r="I47" s="92"/>
      <c r="J47" s="91"/>
      <c r="K47" s="135"/>
      <c r="L47" s="209"/>
      <c r="M47" s="112"/>
      <c r="N47" s="95"/>
      <c r="O47" s="96"/>
    </row>
    <row r="48" spans="1:15">
      <c r="E48" s="132"/>
      <c r="I48" s="86">
        <f>SUM(I2:I46)</f>
        <v>116.86</v>
      </c>
      <c r="L48" s="205"/>
    </row>
    <row r="49" spans="1:14">
      <c r="E49" s="132"/>
      <c r="L49" s="205"/>
    </row>
    <row r="50" spans="1:14">
      <c r="L50" s="205"/>
    </row>
    <row r="51" spans="1:14">
      <c r="L51" s="210"/>
    </row>
    <row r="52" spans="1:14" s="94" customFormat="1">
      <c r="A52" s="137"/>
      <c r="B52" s="138"/>
      <c r="C52" s="138"/>
      <c r="D52" s="138"/>
      <c r="E52" s="138"/>
      <c r="F52" s="138"/>
      <c r="G52" s="139"/>
      <c r="H52" s="139"/>
      <c r="I52" s="140"/>
      <c r="J52" s="139"/>
      <c r="K52" s="112"/>
      <c r="L52" s="205"/>
      <c r="M52" s="112"/>
      <c r="N52" s="95"/>
    </row>
    <row r="53" spans="1:14">
      <c r="L53" s="205"/>
    </row>
    <row r="54" spans="1:14">
      <c r="G54" s="141"/>
      <c r="H54" s="141"/>
      <c r="L54" s="205"/>
      <c r="N54" s="23"/>
    </row>
    <row r="55" spans="1:14">
      <c r="L55" s="205"/>
    </row>
    <row r="56" spans="1:14">
      <c r="L56" s="205"/>
    </row>
    <row r="57" spans="1:14">
      <c r="E57" s="132"/>
      <c r="G57" s="141"/>
      <c r="H57" s="141"/>
      <c r="I57" s="142"/>
      <c r="L57" s="205"/>
    </row>
    <row r="58" spans="1:14">
      <c r="E58" s="132"/>
      <c r="L58" s="205"/>
    </row>
    <row r="59" spans="1:14">
      <c r="L59" s="205"/>
    </row>
    <row r="60" spans="1:14">
      <c r="E60" s="132"/>
      <c r="L60" s="205"/>
    </row>
    <row r="61" spans="1:14">
      <c r="L61" s="205"/>
    </row>
    <row r="62" spans="1:14" s="94" customFormat="1">
      <c r="A62" s="137"/>
      <c r="B62" s="138"/>
      <c r="C62" s="138"/>
      <c r="D62" s="138"/>
      <c r="E62" s="138"/>
      <c r="F62" s="138"/>
      <c r="G62" s="139"/>
      <c r="H62" s="139"/>
      <c r="I62" s="140"/>
      <c r="J62" s="139"/>
      <c r="K62" s="112"/>
      <c r="L62" s="205"/>
      <c r="M62" s="112"/>
      <c r="N62" s="95"/>
    </row>
    <row r="63" spans="1:14">
      <c r="G63" s="202"/>
      <c r="H63" s="202"/>
      <c r="I63" s="117"/>
      <c r="J63" s="202"/>
      <c r="L63" s="205"/>
    </row>
    <row r="64" spans="1:14">
      <c r="G64" s="202"/>
      <c r="H64" s="202"/>
      <c r="I64" s="117"/>
      <c r="J64" s="202"/>
      <c r="L64" s="205"/>
    </row>
    <row r="65" spans="7:13">
      <c r="G65" s="202"/>
      <c r="H65" s="202"/>
      <c r="I65" s="117"/>
      <c r="J65" s="202"/>
      <c r="L65" s="205"/>
    </row>
    <row r="66" spans="7:13">
      <c r="G66" s="141"/>
      <c r="H66" s="141"/>
      <c r="I66" s="142"/>
      <c r="J66" s="141"/>
      <c r="L66" s="205"/>
    </row>
    <row r="67" spans="7:13">
      <c r="G67" s="202"/>
      <c r="H67" s="202"/>
      <c r="I67" s="117"/>
      <c r="J67" s="202"/>
      <c r="L67" s="205"/>
    </row>
    <row r="68" spans="7:13">
      <c r="L68" s="205"/>
    </row>
    <row r="69" spans="7:13">
      <c r="L69" s="205"/>
    </row>
    <row r="70" spans="7:13">
      <c r="L70" s="205"/>
      <c r="M70" s="159"/>
    </row>
    <row r="71" spans="7:13">
      <c r="L71" s="205"/>
    </row>
    <row r="72" spans="7:13">
      <c r="L72" s="205"/>
    </row>
    <row r="73" spans="7:13">
      <c r="I73" s="156"/>
      <c r="L73" s="205"/>
    </row>
    <row r="74" spans="7:13">
      <c r="L74" s="205"/>
    </row>
    <row r="75" spans="7:13">
      <c r="L75" s="205"/>
    </row>
    <row r="76" spans="7:13">
      <c r="L76" s="205"/>
    </row>
    <row r="77" spans="7:13">
      <c r="L77" s="205"/>
    </row>
    <row r="78" spans="7:13">
      <c r="L78" s="205"/>
    </row>
    <row r="79" spans="7:13">
      <c r="L79" s="205"/>
    </row>
    <row r="80" spans="7:13">
      <c r="L80" s="205"/>
    </row>
    <row r="81" spans="1:12">
      <c r="L81" s="205"/>
    </row>
    <row r="82" spans="1:12">
      <c r="L82" s="205"/>
    </row>
    <row r="83" spans="1:12">
      <c r="L83" s="205"/>
    </row>
    <row r="84" spans="1:12">
      <c r="L84" s="205"/>
    </row>
    <row r="85" spans="1:12">
      <c r="A85" s="228"/>
      <c r="B85" s="228"/>
      <c r="C85" s="228"/>
      <c r="D85" s="85"/>
      <c r="L85" s="205"/>
    </row>
    <row r="86" spans="1:12">
      <c r="L86" s="205"/>
    </row>
    <row r="87" spans="1:12">
      <c r="L87" s="205"/>
    </row>
    <row r="88" spans="1:12">
      <c r="L88" s="205"/>
    </row>
    <row r="89" spans="1:12">
      <c r="L89" s="205"/>
    </row>
    <row r="90" spans="1:12">
      <c r="L90" s="205"/>
    </row>
    <row r="91" spans="1:12">
      <c r="L91" s="205"/>
    </row>
    <row r="92" spans="1:12">
      <c r="L92" s="205"/>
    </row>
    <row r="93" spans="1:12">
      <c r="L93" s="205"/>
    </row>
    <row r="94" spans="1:12">
      <c r="L94" s="205"/>
    </row>
    <row r="95" spans="1:12">
      <c r="L95" s="205"/>
    </row>
    <row r="96" spans="1:12">
      <c r="L96" s="205"/>
    </row>
    <row r="97" spans="12:12">
      <c r="L97" s="205"/>
    </row>
    <row r="98" spans="12:12">
      <c r="L98" s="205"/>
    </row>
    <row r="99" spans="12:12">
      <c r="L99" s="205"/>
    </row>
    <row r="100" spans="12:12">
      <c r="L100" s="205"/>
    </row>
    <row r="101" spans="12:12">
      <c r="L101" s="205"/>
    </row>
    <row r="102" spans="12:12">
      <c r="L102" s="205"/>
    </row>
    <row r="103" spans="12:12">
      <c r="L103" s="205"/>
    </row>
    <row r="104" spans="12:12">
      <c r="L104" s="205"/>
    </row>
    <row r="105" spans="12:12">
      <c r="L105" s="205"/>
    </row>
    <row r="106" spans="12:12">
      <c r="L106" s="205"/>
    </row>
    <row r="107" spans="12:12">
      <c r="L107" s="205"/>
    </row>
    <row r="108" spans="12:12">
      <c r="L108" s="205"/>
    </row>
    <row r="109" spans="12:12">
      <c r="L109" s="205"/>
    </row>
    <row r="110" spans="12:12">
      <c r="L110" s="205"/>
    </row>
    <row r="111" spans="12:12">
      <c r="L111" s="205"/>
    </row>
    <row r="112" spans="12:12">
      <c r="L112" s="205"/>
    </row>
    <row r="113" spans="12:12">
      <c r="L113" s="205"/>
    </row>
    <row r="114" spans="12:12">
      <c r="L114" s="205"/>
    </row>
    <row r="115" spans="12:12">
      <c r="L115" s="205"/>
    </row>
    <row r="116" spans="12:12">
      <c r="L116" s="205"/>
    </row>
    <row r="117" spans="12:12">
      <c r="L117" s="205"/>
    </row>
    <row r="118" spans="12:12">
      <c r="L118" s="205"/>
    </row>
    <row r="119" spans="12:12">
      <c r="L119" s="205"/>
    </row>
    <row r="120" spans="12:12">
      <c r="L120" s="205"/>
    </row>
    <row r="121" spans="12:12">
      <c r="L121" s="205"/>
    </row>
    <row r="122" spans="12:12">
      <c r="L122" s="205"/>
    </row>
    <row r="123" spans="12:12">
      <c r="L123" s="205"/>
    </row>
    <row r="124" spans="12:12">
      <c r="L124" s="205"/>
    </row>
    <row r="125" spans="12:12">
      <c r="L125" s="205"/>
    </row>
    <row r="126" spans="12:12">
      <c r="L126" s="205"/>
    </row>
    <row r="127" spans="12:12">
      <c r="L127" s="205"/>
    </row>
    <row r="128" spans="12:12">
      <c r="L128" s="205"/>
    </row>
    <row r="129" spans="12:12">
      <c r="L129" s="205"/>
    </row>
    <row r="130" spans="12:12">
      <c r="L130" s="205"/>
    </row>
    <row r="131" spans="12:12">
      <c r="L131" s="205"/>
    </row>
    <row r="132" spans="12:12">
      <c r="L132" s="205"/>
    </row>
    <row r="133" spans="12:12">
      <c r="L133" s="205"/>
    </row>
    <row r="134" spans="12:12">
      <c r="L134" s="205"/>
    </row>
    <row r="135" spans="12:12">
      <c r="L135" s="205"/>
    </row>
    <row r="136" spans="12:12">
      <c r="L136" s="205"/>
    </row>
    <row r="137" spans="12:12">
      <c r="L137" s="205"/>
    </row>
    <row r="138" spans="12:12">
      <c r="L138" s="205"/>
    </row>
    <row r="139" spans="12:12">
      <c r="L139" s="205"/>
    </row>
    <row r="140" spans="12:12">
      <c r="L140" s="205"/>
    </row>
    <row r="141" spans="12:12">
      <c r="L141" s="205"/>
    </row>
    <row r="142" spans="12:12">
      <c r="L142" s="205"/>
    </row>
    <row r="143" spans="12:12">
      <c r="L143" s="205"/>
    </row>
    <row r="144" spans="12:12">
      <c r="L144" s="205"/>
    </row>
    <row r="145" spans="12:18">
      <c r="L145" s="205"/>
      <c r="R145" t="s">
        <v>372</v>
      </c>
    </row>
  </sheetData>
  <mergeCells count="3">
    <mergeCell ref="Q12:R12"/>
    <mergeCell ref="R18:T18"/>
    <mergeCell ref="A85:C85"/>
  </mergeCells>
  <pageMargins left="0.7" right="0.7" top="0.75" bottom="0.75" header="0.3" footer="0.3"/>
  <pageSetup orientation="portrait" r:id="rId1"/>
  <legacyDrawing r:id="rId2"/>
  <controls>
    <control shapeId="1043" r:id="rId3" name="Control 19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Camp. 24 Details</vt:lpstr>
      <vt:lpstr>Camp. 25 Details</vt:lpstr>
      <vt:lpstr>Camp. 2 Details</vt:lpstr>
      <vt:lpstr>Camp. 3 Details</vt:lpstr>
      <vt:lpstr>Camp. 4 Details</vt:lpstr>
      <vt:lpstr>Camp. 5 &amp; 6</vt:lpstr>
      <vt:lpstr>Camp. 7</vt:lpstr>
      <vt:lpstr>Camp. 8</vt:lpstr>
      <vt:lpstr>Camp. 10</vt:lpstr>
      <vt:lpstr>Sheet1</vt:lpstr>
      <vt:lpstr>'Camp. 25 Details'!Print_Area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cp:lastPrinted>2009-02-19T16:23:57Z</cp:lastPrinted>
  <dcterms:created xsi:type="dcterms:W3CDTF">2008-11-19T15:53:23Z</dcterms:created>
  <dcterms:modified xsi:type="dcterms:W3CDTF">2009-06-08T15:47:25Z</dcterms:modified>
</cp:coreProperties>
</file>