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0" windowWidth="15480" windowHeight="8775" activeTab="1"/>
  </bookViews>
  <sheets>
    <sheet name="SHEET #1&gt;INVESTMENT PURCHASE" sheetId="1" r:id="rId1"/>
    <sheet name="SHEET#2&gt;SHARE PRICE TREND" sheetId="2" r:id="rId2"/>
    <sheet name="SHEET #3&gt;PIE CHART" sheetId="3" r:id="rId3"/>
    <sheet name="SHEET#4&gt;LINEAR GRAPH" sheetId="4" r:id="rId4"/>
  </sheets>
  <calcPr calcId="124519"/>
</workbook>
</file>

<file path=xl/calcChain.xml><?xml version="1.0" encoding="utf-8"?>
<calcChain xmlns="http://schemas.openxmlformats.org/spreadsheetml/2006/main">
  <c r="AL11" i="2"/>
  <c r="AL10"/>
  <c r="AL8"/>
  <c r="AL7"/>
  <c r="AL6"/>
  <c r="AL5"/>
  <c r="AL4"/>
  <c r="AK7"/>
  <c r="AO5"/>
  <c r="AN5"/>
  <c r="AK5"/>
  <c r="AN7"/>
  <c r="AN4"/>
  <c r="AK4"/>
  <c r="AO8"/>
  <c r="AO7"/>
  <c r="AO6"/>
  <c r="AO4"/>
  <c r="AI4"/>
  <c r="AI8"/>
  <c r="AI7"/>
  <c r="AI10" s="1"/>
  <c r="AI11" s="1"/>
  <c r="AI6"/>
  <c r="AI5"/>
  <c r="AD5"/>
  <c r="AN6"/>
  <c r="N8"/>
  <c r="Z8"/>
  <c r="W8"/>
  <c r="T8"/>
  <c r="Q8"/>
  <c r="R8" s="1"/>
  <c r="Z5"/>
  <c r="AA5" s="1"/>
  <c r="W5"/>
  <c r="Z4"/>
  <c r="W4"/>
  <c r="X4" s="1"/>
  <c r="T4"/>
  <c r="U4" s="1"/>
  <c r="Q4"/>
  <c r="T5"/>
  <c r="Q5"/>
  <c r="Z7"/>
  <c r="W7"/>
  <c r="X7" s="1"/>
  <c r="T7"/>
  <c r="Q7"/>
  <c r="Z6"/>
  <c r="Q6"/>
  <c r="R6" s="1"/>
  <c r="T6"/>
  <c r="W6"/>
  <c r="R4"/>
  <c r="N7"/>
  <c r="N6"/>
  <c r="N5"/>
  <c r="O4"/>
  <c r="O6"/>
  <c r="D8"/>
  <c r="D7"/>
  <c r="D6"/>
  <c r="D5"/>
  <c r="D4"/>
  <c r="J4" i="1"/>
  <c r="I4" s="1"/>
  <c r="J8"/>
  <c r="I8" s="1"/>
  <c r="J7"/>
  <c r="I7" s="1"/>
  <c r="J6"/>
  <c r="I6" s="1"/>
  <c r="J5"/>
  <c r="I5" s="1"/>
  <c r="K9"/>
  <c r="AD8" i="2"/>
  <c r="AD7"/>
  <c r="AD6"/>
  <c r="AD4"/>
  <c r="AA8"/>
  <c r="AA7"/>
  <c r="AA6"/>
  <c r="AA4"/>
  <c r="X8"/>
  <c r="X6"/>
  <c r="X5"/>
  <c r="U8"/>
  <c r="U7"/>
  <c r="U6"/>
  <c r="U5"/>
  <c r="O8"/>
  <c r="O7"/>
  <c r="O5"/>
  <c r="R7"/>
  <c r="R5"/>
  <c r="L8"/>
  <c r="L7"/>
  <c r="L6"/>
  <c r="L5"/>
  <c r="L4"/>
  <c r="I10"/>
  <c r="E10"/>
  <c r="I11" s="1"/>
  <c r="AO10" l="1"/>
  <c r="AO11" s="1"/>
  <c r="AD10"/>
  <c r="AD11" s="1"/>
  <c r="AA10"/>
  <c r="AA11" s="1"/>
  <c r="X10"/>
  <c r="X11" s="1"/>
  <c r="U10"/>
  <c r="U11" s="1"/>
  <c r="R10"/>
  <c r="R11" s="1"/>
  <c r="O10"/>
  <c r="O11" s="1"/>
  <c r="L10"/>
</calcChain>
</file>

<file path=xl/sharedStrings.xml><?xml version="1.0" encoding="utf-8"?>
<sst xmlns="http://schemas.openxmlformats.org/spreadsheetml/2006/main" count="118" uniqueCount="55">
  <si>
    <t>COMPANY</t>
    <phoneticPr fontId="2" type="noConversion"/>
  </si>
  <si>
    <t>BETA</t>
    <phoneticPr fontId="2" type="noConversion"/>
  </si>
  <si>
    <t>EPS</t>
    <phoneticPr fontId="2" type="noConversion"/>
  </si>
  <si>
    <t>INVESTMENT PURCHASE INFORMATION</t>
    <phoneticPr fontId="2" type="noConversion"/>
  </si>
  <si>
    <t>INDUSTRY</t>
    <phoneticPr fontId="2" type="noConversion"/>
  </si>
  <si>
    <t>COMPANY</t>
    <phoneticPr fontId="2" type="noConversion"/>
  </si>
  <si>
    <t>TOTAL NUMBER OF SHARES PURCHASED</t>
    <phoneticPr fontId="2" type="noConversion"/>
  </si>
  <si>
    <t>INVESTMENT PRINCIPLE (US$)</t>
    <phoneticPr fontId="2" type="noConversion"/>
  </si>
  <si>
    <t>DATE</t>
    <phoneticPr fontId="2" type="noConversion"/>
  </si>
  <si>
    <t>PRICE</t>
    <phoneticPr fontId="2" type="noConversion"/>
  </si>
  <si>
    <t>PRINCIPLE</t>
    <phoneticPr fontId="2" type="noConversion"/>
  </si>
  <si>
    <t>SHARES</t>
    <phoneticPr fontId="2" type="noConversion"/>
  </si>
  <si>
    <t>TOTAL PRINCIPLE</t>
    <phoneticPr fontId="2" type="noConversion"/>
  </si>
  <si>
    <t>TOTAL INVESTMENT PRINCIPLE</t>
    <phoneticPr fontId="2" type="noConversion"/>
  </si>
  <si>
    <t>PER</t>
    <phoneticPr fontId="2" type="noConversion"/>
  </si>
  <si>
    <t>GAIN/LOSS</t>
    <phoneticPr fontId="2" type="noConversion"/>
  </si>
  <si>
    <t>DATE of PURCHASE</t>
    <phoneticPr fontId="2" type="noConversion"/>
  </si>
  <si>
    <t>DATE of Purchase</t>
    <phoneticPr fontId="2" type="noConversion"/>
  </si>
  <si>
    <t>Week of 10/11</t>
    <phoneticPr fontId="2" type="noConversion"/>
  </si>
  <si>
    <t>Week of Nov. 15</t>
    <phoneticPr fontId="2" type="noConversion"/>
  </si>
  <si>
    <t>Week of Nov. 22</t>
    <phoneticPr fontId="2" type="noConversion"/>
  </si>
  <si>
    <t>%</t>
    <phoneticPr fontId="2" type="noConversion"/>
  </si>
  <si>
    <t>Week of 10/04</t>
    <phoneticPr fontId="2" type="noConversion"/>
  </si>
  <si>
    <t>PURCHASE PRICE</t>
    <phoneticPr fontId="2" type="noConversion"/>
  </si>
  <si>
    <t>NOTE:  1) Total Investment Principle CANNOT EXCEED US$1.0 M for the 5 companies.                                                                                                                                                                       2) Each company can have a larger or smaller investment principle than the other companies.</t>
    <phoneticPr fontId="2" type="noConversion"/>
  </si>
  <si>
    <t>Week of Nov. 8</t>
    <phoneticPr fontId="2" type="noConversion"/>
  </si>
  <si>
    <t>SHARE PRICE TREND: 11 WEEK MOVEMENT</t>
    <phoneticPr fontId="2" type="noConversion"/>
  </si>
  <si>
    <t>LINEAR GRAPH: SHARE PRICE TREND</t>
    <phoneticPr fontId="2" type="noConversion"/>
  </si>
  <si>
    <t>PIE CHART: INVESTMENT PORTFOLIO</t>
    <phoneticPr fontId="2" type="noConversion"/>
  </si>
  <si>
    <t>Megastudy</t>
    <phoneticPr fontId="2" type="noConversion"/>
  </si>
  <si>
    <t>Internet Education.</t>
    <phoneticPr fontId="2" type="noConversion"/>
  </si>
  <si>
    <t>TICKER (STOCK CODE)</t>
    <phoneticPr fontId="2" type="noConversion"/>
  </si>
  <si>
    <t>KOSPI.</t>
    <phoneticPr fontId="2" type="noConversion"/>
  </si>
  <si>
    <t>PURCHASE PRICE PER SHARE (US$)</t>
    <phoneticPr fontId="2" type="noConversion"/>
  </si>
  <si>
    <t>NamYang Diary Product</t>
    <phoneticPr fontId="2" type="noConversion"/>
  </si>
  <si>
    <t>Food</t>
    <phoneticPr fontId="2" type="noConversion"/>
  </si>
  <si>
    <t>Oil</t>
    <phoneticPr fontId="2" type="noConversion"/>
  </si>
  <si>
    <t>LG Household &amp; Health Care</t>
    <phoneticPr fontId="2" type="noConversion"/>
  </si>
  <si>
    <t>Household Goods</t>
    <phoneticPr fontId="2" type="noConversion"/>
  </si>
  <si>
    <t>STOCK EXCHANGE</t>
    <phoneticPr fontId="2" type="noConversion"/>
  </si>
  <si>
    <t>Hyundai Mobis</t>
    <phoneticPr fontId="2" type="noConversion"/>
  </si>
  <si>
    <t xml:space="preserve">Production of automobiles </t>
    <phoneticPr fontId="2" type="noConversion"/>
  </si>
  <si>
    <t>KOSPI.</t>
  </si>
  <si>
    <t>Honam Petrochemical corporation</t>
  </si>
  <si>
    <t>COMPANY INVESTMENT SPREADSHEET/CLASS NAME:              TEAM NAME:Americano</t>
    <phoneticPr fontId="2" type="noConversion"/>
  </si>
  <si>
    <t>Week of Nov. 1</t>
    <phoneticPr fontId="2" type="noConversion"/>
  </si>
  <si>
    <t>Week of Oct. 19</t>
    <phoneticPr fontId="2" type="noConversion"/>
  </si>
  <si>
    <t>Week of Oct.25</t>
    <phoneticPr fontId="2" type="noConversion"/>
  </si>
  <si>
    <t>GS Engineering &amp; Constuction</t>
    <phoneticPr fontId="2" type="noConversion"/>
  </si>
  <si>
    <t>AKAMAI</t>
    <phoneticPr fontId="2" type="noConversion"/>
  </si>
  <si>
    <t>Middleby</t>
    <phoneticPr fontId="2" type="noConversion"/>
  </si>
  <si>
    <t>SHARE</t>
    <phoneticPr fontId="2" type="noConversion"/>
  </si>
  <si>
    <t>Week of Nov. 22</t>
    <phoneticPr fontId="2" type="noConversion"/>
  </si>
  <si>
    <t>Week of Dec. 8</t>
    <phoneticPr fontId="2" type="noConversion"/>
  </si>
  <si>
    <t>Week of Nov.29</t>
    <phoneticPr fontId="2" type="noConversion"/>
  </si>
</sst>
</file>

<file path=xl/styles.xml><?xml version="1.0" encoding="utf-8"?>
<styleSheet xmlns="http://schemas.openxmlformats.org/spreadsheetml/2006/main">
  <numFmts count="10">
    <numFmt numFmtId="42" formatCode="_-&quot;₩&quot;* #,##0_-;\-&quot;₩&quot;* #,##0_-;_-&quot;₩&quot;* &quot;-&quot;_-;_-@_-"/>
    <numFmt numFmtId="24" formatCode="\$#,##0_);[Red]\(\$#,##0\)"/>
    <numFmt numFmtId="25" formatCode="\$#,##0.00_);\(\$#,##0.00\)"/>
    <numFmt numFmtId="26" formatCode="\$#,##0.00_);[Red]\(\$#,##0.00\)"/>
    <numFmt numFmtId="176" formatCode="\$#,##0.00"/>
    <numFmt numFmtId="177" formatCode="0.0%"/>
    <numFmt numFmtId="178" formatCode="&quot;$&quot;#,##0.00"/>
    <numFmt numFmtId="179" formatCode="m/d;@"/>
    <numFmt numFmtId="180" formatCode="&quot;US$&quot;#,##0.00_);\(&quot;US$&quot;#,##0.00\)"/>
    <numFmt numFmtId="181" formatCode="0_ 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22"/>
      <name val="돋움"/>
      <family val="3"/>
      <charset val="129"/>
    </font>
    <font>
      <b/>
      <sz val="16"/>
      <name val="돋움"/>
      <family val="3"/>
      <charset val="129"/>
    </font>
    <font>
      <b/>
      <sz val="14"/>
      <name val="돋움"/>
      <family val="3"/>
      <charset val="129"/>
    </font>
    <font>
      <sz val="11"/>
      <color rgb="FFFF0000"/>
      <name val="돋움"/>
      <family val="3"/>
      <charset val="129"/>
    </font>
    <font>
      <sz val="9"/>
      <color rgb="FF333333"/>
      <name val="굴림"/>
      <family val="3"/>
      <charset val="129"/>
    </font>
    <font>
      <sz val="12"/>
      <name val="Verdana"/>
      <family val="2"/>
    </font>
    <font>
      <b/>
      <sz val="12"/>
      <name val="Verdana"/>
      <family val="2"/>
    </font>
    <font>
      <sz val="11"/>
      <color rgb="FF333333"/>
      <name val="돋움"/>
      <family val="3"/>
      <charset val="129"/>
    </font>
    <font>
      <b/>
      <sz val="10"/>
      <name val="돋움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0" borderId="0" xfId="0" applyBorder="1">
      <alignment vertical="center"/>
    </xf>
    <xf numFmtId="0" fontId="0" fillId="4" borderId="0" xfId="0" applyFill="1">
      <alignment vertical="center"/>
    </xf>
    <xf numFmtId="1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6" fontId="3" fillId="0" borderId="6" xfId="0" applyNumberFormat="1" applyFont="1" applyBorder="1" applyAlignment="1">
      <alignment horizontal="center" vertical="center"/>
    </xf>
    <xf numFmtId="0" fontId="0" fillId="6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26" fontId="3" fillId="0" borderId="7" xfId="0" applyNumberFormat="1" applyFont="1" applyBorder="1">
      <alignment vertical="center"/>
    </xf>
    <xf numFmtId="176" fontId="0" fillId="5" borderId="0" xfId="0" applyNumberFormat="1" applyFill="1">
      <alignment vertical="center"/>
    </xf>
    <xf numFmtId="0" fontId="11" fillId="0" borderId="0" xfId="0" applyFont="1">
      <alignment vertical="center"/>
    </xf>
    <xf numFmtId="24" fontId="9" fillId="0" borderId="3" xfId="0" applyNumberFormat="1" applyFont="1" applyBorder="1">
      <alignment vertical="center"/>
    </xf>
    <xf numFmtId="26" fontId="3" fillId="0" borderId="3" xfId="0" applyNumberFormat="1" applyFont="1" applyBorder="1">
      <alignment vertical="center"/>
    </xf>
    <xf numFmtId="0" fontId="0" fillId="5" borderId="10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2" xfId="0" applyFill="1" applyBorder="1">
      <alignment vertical="center"/>
    </xf>
    <xf numFmtId="0" fontId="0" fillId="4" borderId="10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5" xfId="0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3" fillId="10" borderId="0" xfId="0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8" fontId="3" fillId="0" borderId="7" xfId="0" applyNumberFormat="1" applyFont="1" applyBorder="1">
      <alignment vertical="center"/>
    </xf>
    <xf numFmtId="10" fontId="10" fillId="0" borderId="3" xfId="1" applyNumberFormat="1" applyFont="1" applyBorder="1" applyAlignment="1">
      <alignment horizontal="center" vertical="center"/>
    </xf>
    <xf numFmtId="177" fontId="10" fillId="0" borderId="3" xfId="1" applyNumberFormat="1" applyFon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16" fontId="3" fillId="12" borderId="4" xfId="0" applyNumberFormat="1" applyFont="1" applyFill="1" applyBorder="1" applyAlignment="1">
      <alignment horizontal="center" vertical="center"/>
    </xf>
    <xf numFmtId="16" fontId="3" fillId="12" borderId="6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179" fontId="0" fillId="12" borderId="2" xfId="0" applyNumberFormat="1" applyFill="1" applyBorder="1" applyAlignment="1">
      <alignment horizontal="center" vertical="center"/>
    </xf>
    <xf numFmtId="178" fontId="0" fillId="12" borderId="1" xfId="0" applyNumberFormat="1" applyFill="1" applyBorder="1">
      <alignment vertical="center"/>
    </xf>
    <xf numFmtId="178" fontId="3" fillId="12" borderId="7" xfId="0" applyNumberFormat="1" applyFont="1" applyFill="1" applyBorder="1">
      <alignment vertical="center"/>
    </xf>
    <xf numFmtId="24" fontId="0" fillId="11" borderId="12" xfId="0" applyNumberFormat="1" applyFill="1" applyBorder="1" applyAlignment="1">
      <alignment horizontal="center" vertical="center"/>
    </xf>
    <xf numFmtId="0" fontId="8" fillId="4" borderId="4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/>
    </xf>
    <xf numFmtId="16" fontId="0" fillId="13" borderId="13" xfId="0" applyNumberFormat="1" applyFill="1" applyBorder="1" applyAlignment="1">
      <alignment horizontal="center" vertical="center"/>
    </xf>
    <xf numFmtId="24" fontId="0" fillId="11" borderId="14" xfId="0" applyNumberFormat="1" applyFill="1" applyBorder="1" applyAlignment="1">
      <alignment horizontal="center" vertical="center"/>
    </xf>
    <xf numFmtId="24" fontId="0" fillId="11" borderId="1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2" fillId="0" borderId="13" xfId="0" applyNumberFormat="1" applyFont="1" applyBorder="1">
      <alignment vertical="center"/>
    </xf>
    <xf numFmtId="0" fontId="12" fillId="13" borderId="13" xfId="0" applyFont="1" applyFill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14" fillId="11" borderId="13" xfId="0" applyNumberFormat="1" applyFont="1" applyFill="1" applyBorder="1" applyAlignment="1">
      <alignment horizontal="center" vertical="center"/>
    </xf>
    <xf numFmtId="180" fontId="13" fillId="11" borderId="13" xfId="0" applyNumberFormat="1" applyFont="1" applyFill="1" applyBorder="1">
      <alignment vertical="center"/>
    </xf>
    <xf numFmtId="0" fontId="14" fillId="11" borderId="13" xfId="0" applyFont="1" applyFill="1" applyBorder="1" applyAlignment="1">
      <alignment horizontal="center" vertical="center"/>
    </xf>
    <xf numFmtId="24" fontId="0" fillId="11" borderId="16" xfId="0" applyNumberFormat="1" applyFill="1" applyBorder="1" applyAlignment="1">
      <alignment horizontal="center" vertical="center"/>
    </xf>
    <xf numFmtId="3" fontId="0" fillId="11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1" fontId="14" fillId="11" borderId="13" xfId="0" applyNumberFormat="1" applyFont="1" applyFill="1" applyBorder="1" applyAlignment="1">
      <alignment horizontal="center" vertical="center"/>
    </xf>
    <xf numFmtId="24" fontId="0" fillId="0" borderId="13" xfId="0" applyNumberFormat="1" applyFill="1" applyBorder="1" applyAlignment="1">
      <alignment horizontal="center" vertical="center"/>
    </xf>
    <xf numFmtId="178" fontId="3" fillId="0" borderId="7" xfId="0" applyNumberFormat="1" applyFont="1" applyFill="1" applyBorder="1">
      <alignment vertical="center"/>
    </xf>
    <xf numFmtId="25" fontId="0" fillId="0" borderId="0" xfId="0" applyNumberFormat="1">
      <alignment vertical="center"/>
    </xf>
    <xf numFmtId="25" fontId="15" fillId="0" borderId="0" xfId="2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6" fontId="3" fillId="0" borderId="1" xfId="0" applyNumberFormat="1" applyFont="1" applyBorder="1">
      <alignment vertical="center"/>
    </xf>
    <xf numFmtId="177" fontId="10" fillId="0" borderId="0" xfId="1" applyNumberFormat="1" applyFont="1" applyBorder="1" applyAlignment="1">
      <alignment horizontal="center" vertical="center"/>
    </xf>
    <xf numFmtId="180" fontId="13" fillId="14" borderId="13" xfId="0" applyNumberFormat="1" applyFont="1" applyFill="1" applyBorder="1">
      <alignment vertical="center"/>
    </xf>
    <xf numFmtId="0" fontId="0" fillId="14" borderId="13" xfId="0" applyFill="1" applyBorder="1" applyAlignment="1">
      <alignment horizontal="center" vertical="center"/>
    </xf>
    <xf numFmtId="24" fontId="0" fillId="14" borderId="12" xfId="0" applyNumberFormat="1" applyFill="1" applyBorder="1" applyAlignment="1">
      <alignment horizontal="center" vertical="center"/>
    </xf>
    <xf numFmtId="16" fontId="0" fillId="14" borderId="13" xfId="0" applyNumberFormat="1" applyFill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26" fontId="0" fillId="13" borderId="13" xfId="0" applyNumberForma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26" fontId="0" fillId="0" borderId="0" xfId="0" applyNumberFormat="1">
      <alignment vertical="center"/>
    </xf>
    <xf numFmtId="26" fontId="0" fillId="0" borderId="0" xfId="0" applyNumberFormat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26" fontId="0" fillId="0" borderId="13" xfId="0" applyNumberFormat="1" applyBorder="1">
      <alignment vertical="center"/>
    </xf>
    <xf numFmtId="26" fontId="16" fillId="0" borderId="8" xfId="0" applyNumberFormat="1" applyFont="1" applyBorder="1" applyAlignment="1">
      <alignment horizontal="center" vertical="center"/>
    </xf>
    <xf numFmtId="26" fontId="16" fillId="13" borderId="17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26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0" fontId="3" fillId="11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3" fontId="0" fillId="16" borderId="13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6" fontId="0" fillId="0" borderId="17" xfId="0" applyNumberFormat="1" applyBorder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3">
    <cellStyle name="백분율" xfId="1" builtinId="5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J12"/>
  <sheetViews>
    <sheetView topLeftCell="C1" workbookViewId="0">
      <selection activeCell="J4" sqref="J4"/>
    </sheetView>
  </sheetViews>
  <sheetFormatPr defaultRowHeight="13.5"/>
  <cols>
    <col min="1" max="1" width="15.44140625" customWidth="1"/>
    <col min="2" max="2" width="17.44140625" customWidth="1"/>
    <col min="3" max="3" width="14.109375" customWidth="1"/>
    <col min="4" max="4" width="11.109375" customWidth="1"/>
    <col min="8" max="8" width="11.88671875" customWidth="1"/>
    <col min="9" max="9" width="13.77734375" customWidth="1"/>
    <col min="10" max="10" width="12" customWidth="1"/>
    <col min="11" max="11" width="16.44140625" customWidth="1"/>
    <col min="12" max="12" width="1.44140625" customWidth="1"/>
  </cols>
  <sheetData>
    <row r="1" spans="1:36" ht="30.75" customHeight="1" thickBot="1">
      <c r="A1" s="85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2"/>
    </row>
    <row r="2" spans="1:36" ht="30.75" customHeight="1" thickBot="1">
      <c r="A2" s="88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2"/>
    </row>
    <row r="3" spans="1:36" ht="64.5" customHeight="1" thickBot="1">
      <c r="A3" s="59" t="s">
        <v>5</v>
      </c>
      <c r="B3" s="59" t="s">
        <v>4</v>
      </c>
      <c r="C3" s="60" t="s">
        <v>39</v>
      </c>
      <c r="D3" s="60" t="s">
        <v>31</v>
      </c>
      <c r="E3" s="59" t="s">
        <v>1</v>
      </c>
      <c r="F3" s="59" t="s">
        <v>2</v>
      </c>
      <c r="G3" s="59" t="s">
        <v>14</v>
      </c>
      <c r="H3" s="60" t="s">
        <v>16</v>
      </c>
      <c r="I3" s="60" t="s">
        <v>6</v>
      </c>
      <c r="J3" s="60" t="s">
        <v>33</v>
      </c>
      <c r="K3" s="58" t="s">
        <v>7</v>
      </c>
      <c r="L3" s="2"/>
    </row>
    <row r="4" spans="1:36" ht="102" customHeight="1">
      <c r="A4" s="54" t="s">
        <v>29</v>
      </c>
      <c r="B4" s="54" t="s">
        <v>30</v>
      </c>
      <c r="C4" s="54" t="s">
        <v>32</v>
      </c>
      <c r="D4" s="54">
        <v>72870</v>
      </c>
      <c r="E4" s="54">
        <v>0.43</v>
      </c>
      <c r="F4" s="55">
        <v>10769</v>
      </c>
      <c r="G4" s="50">
        <v>15.03</v>
      </c>
      <c r="H4" s="51">
        <v>40470</v>
      </c>
      <c r="I4" s="61">
        <f>SUM(K4/J4)</f>
        <v>1415.3846153846152</v>
      </c>
      <c r="J4" s="62">
        <f>SUM(162500/1150)</f>
        <v>141.30434782608697</v>
      </c>
      <c r="K4" s="52">
        <v>200000</v>
      </c>
      <c r="L4" s="2"/>
    </row>
    <row r="5" spans="1:36" ht="107.25" customHeight="1">
      <c r="A5" s="66" t="s">
        <v>34</v>
      </c>
      <c r="B5" s="54" t="s">
        <v>35</v>
      </c>
      <c r="C5" s="54" t="s">
        <v>32</v>
      </c>
      <c r="D5" s="54">
        <v>3920</v>
      </c>
      <c r="E5" s="54">
        <v>0.7</v>
      </c>
      <c r="F5" s="56">
        <v>116401</v>
      </c>
      <c r="G5" s="57">
        <v>6</v>
      </c>
      <c r="H5" s="51">
        <v>40470</v>
      </c>
      <c r="I5" s="67">
        <f>SUM(K5/J5)</f>
        <v>179.12772585669782</v>
      </c>
      <c r="J5" s="62">
        <f>SUM(642000/1150)</f>
        <v>558.26086956521738</v>
      </c>
      <c r="K5" s="53">
        <v>100000</v>
      </c>
      <c r="L5" s="2"/>
    </row>
    <row r="6" spans="1:36" ht="106.5" customHeight="1">
      <c r="A6" s="66" t="s">
        <v>43</v>
      </c>
      <c r="B6" s="54" t="s">
        <v>36</v>
      </c>
      <c r="C6" s="54" t="s">
        <v>32</v>
      </c>
      <c r="D6" s="54">
        <v>11170</v>
      </c>
      <c r="E6" s="54">
        <v>1.4</v>
      </c>
      <c r="F6" s="56">
        <v>25006</v>
      </c>
      <c r="G6" s="57">
        <v>9.4</v>
      </c>
      <c r="H6" s="51">
        <v>40470</v>
      </c>
      <c r="I6" s="67">
        <f>SUM(K6/J6)</f>
        <v>1490.2807775377969</v>
      </c>
      <c r="J6" s="62">
        <f>SUM(231500/1150)</f>
        <v>201.30434782608697</v>
      </c>
      <c r="K6" s="53">
        <v>300000</v>
      </c>
      <c r="L6" s="2"/>
    </row>
    <row r="7" spans="1:36" ht="103.5" customHeight="1">
      <c r="A7" s="66" t="s">
        <v>37</v>
      </c>
      <c r="B7" s="54" t="s">
        <v>38</v>
      </c>
      <c r="C7" s="54" t="s">
        <v>32</v>
      </c>
      <c r="D7" s="54">
        <v>51900</v>
      </c>
      <c r="E7" s="54">
        <v>0.14000000000000001</v>
      </c>
      <c r="F7" s="56">
        <v>9654</v>
      </c>
      <c r="G7" s="57">
        <v>37.700000000000003</v>
      </c>
      <c r="H7" s="51">
        <v>40470</v>
      </c>
      <c r="I7" s="67">
        <f>SUM(K7/J7)</f>
        <v>954.35684647302912</v>
      </c>
      <c r="J7" s="62">
        <f>SUM(361500/1150)</f>
        <v>314.3478260869565</v>
      </c>
      <c r="K7" s="64">
        <v>300000</v>
      </c>
      <c r="L7" s="2"/>
    </row>
    <row r="8" spans="1:36" ht="93.75" customHeight="1" thickBot="1">
      <c r="A8" s="50" t="s">
        <v>40</v>
      </c>
      <c r="B8" s="50" t="s">
        <v>41</v>
      </c>
      <c r="C8" s="50" t="s">
        <v>42</v>
      </c>
      <c r="D8" s="50">
        <v>12330</v>
      </c>
      <c r="E8" s="50">
        <v>1.1000000000000001</v>
      </c>
      <c r="F8" s="50">
        <v>17.451000000000001</v>
      </c>
      <c r="G8" s="50">
        <v>14.3</v>
      </c>
      <c r="H8" s="51">
        <v>40470</v>
      </c>
      <c r="I8" s="63">
        <f>SUM(K8/J8)</f>
        <v>460</v>
      </c>
      <c r="J8" s="62">
        <f>SUM(250000/1150)</f>
        <v>217.39130434782609</v>
      </c>
      <c r="K8" s="46">
        <v>100000</v>
      </c>
      <c r="L8" s="2"/>
    </row>
    <row r="9" spans="1:36" ht="43.5" customHeight="1" thickBot="1">
      <c r="A9" s="47"/>
      <c r="B9" s="48"/>
      <c r="C9" s="48"/>
      <c r="D9" s="48"/>
      <c r="E9" s="48"/>
      <c r="F9" s="48"/>
      <c r="G9" s="48"/>
      <c r="H9" s="48"/>
      <c r="I9" s="48"/>
      <c r="J9" s="49" t="s">
        <v>13</v>
      </c>
      <c r="K9" s="23">
        <f>SUM(K4:K8)</f>
        <v>1000000</v>
      </c>
      <c r="L9" s="2"/>
    </row>
    <row r="10" spans="1:36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36" s="3" customFormat="1" ht="41.25" customHeight="1" thickBot="1">
      <c r="A11" s="91" t="s">
        <v>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</sheetData>
  <mergeCells count="3">
    <mergeCell ref="A1:K1"/>
    <mergeCell ref="A2:K2"/>
    <mergeCell ref="A11:K1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BB22"/>
  <sheetViews>
    <sheetView tabSelected="1" workbookViewId="0">
      <selection activeCell="AN4" sqref="AN4"/>
    </sheetView>
  </sheetViews>
  <sheetFormatPr defaultRowHeight="13.5"/>
  <cols>
    <col min="1" max="1" width="29.6640625" customWidth="1"/>
    <col min="2" max="2" width="16.88671875" customWidth="1"/>
    <col min="3" max="3" width="8.33203125" customWidth="1"/>
    <col min="4" max="4" width="17.33203125" customWidth="1"/>
    <col min="5" max="5" width="15.44140625" customWidth="1"/>
    <col min="6" max="6" width="2" customWidth="1"/>
    <col min="7" max="8" width="11" customWidth="1"/>
    <col min="9" max="9" width="17.44140625" customWidth="1"/>
    <col min="10" max="10" width="14.109375" customWidth="1"/>
    <col min="11" max="11" width="13.6640625" customWidth="1"/>
    <col min="12" max="12" width="14.44140625" customWidth="1"/>
    <col min="13" max="13" width="11.77734375" customWidth="1"/>
    <col min="14" max="14" width="13.5546875" customWidth="1"/>
    <col min="15" max="15" width="20.21875" customWidth="1"/>
    <col min="16" max="17" width="11.21875" customWidth="1"/>
    <col min="18" max="18" width="17.33203125" customWidth="1"/>
    <col min="19" max="20" width="12" customWidth="1"/>
    <col min="21" max="21" width="15.44140625" customWidth="1"/>
    <col min="23" max="23" width="10.88671875" customWidth="1"/>
    <col min="24" max="24" width="18.33203125" customWidth="1"/>
    <col min="26" max="26" width="11.33203125" customWidth="1"/>
    <col min="27" max="27" width="18.88671875" customWidth="1"/>
    <col min="29" max="29" width="11.44140625" customWidth="1"/>
    <col min="30" max="30" width="18.6640625" customWidth="1"/>
    <col min="31" max="32" width="36.109375" customWidth="1"/>
    <col min="33" max="33" width="12.6640625" customWidth="1"/>
    <col min="34" max="34" width="11.77734375" customWidth="1"/>
    <col min="35" max="35" width="19.77734375" customWidth="1"/>
    <col min="37" max="37" width="11.109375" customWidth="1"/>
    <col min="38" max="38" width="18.21875" customWidth="1"/>
    <col min="39" max="39" width="12.6640625" customWidth="1"/>
    <col min="40" max="40" width="12" customWidth="1"/>
    <col min="41" max="41" width="21.33203125" customWidth="1"/>
    <col min="42" max="42" width="2.109375" customWidth="1"/>
  </cols>
  <sheetData>
    <row r="1" spans="1:54" ht="27" customHeight="1" thickBot="1">
      <c r="A1" s="93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1"/>
    </row>
    <row r="2" spans="1:54" ht="29.25" customHeight="1" thickBot="1">
      <c r="A2" s="95" t="s">
        <v>3</v>
      </c>
      <c r="B2" s="95"/>
      <c r="C2" s="95"/>
      <c r="D2" s="95"/>
      <c r="E2" s="95"/>
      <c r="F2" s="10"/>
      <c r="G2" s="99" t="s">
        <v>22</v>
      </c>
      <c r="H2" s="100"/>
      <c r="I2" s="101"/>
      <c r="J2" s="99" t="s">
        <v>18</v>
      </c>
      <c r="K2" s="100"/>
      <c r="L2" s="101"/>
      <c r="M2" s="96" t="s">
        <v>46</v>
      </c>
      <c r="N2" s="97"/>
      <c r="O2" s="98"/>
      <c r="P2" s="96" t="s">
        <v>47</v>
      </c>
      <c r="Q2" s="97"/>
      <c r="R2" s="98"/>
      <c r="S2" s="96" t="s">
        <v>45</v>
      </c>
      <c r="T2" s="97"/>
      <c r="U2" s="98"/>
      <c r="V2" s="96" t="s">
        <v>25</v>
      </c>
      <c r="W2" s="97"/>
      <c r="X2" s="98"/>
      <c r="Y2" s="96" t="s">
        <v>19</v>
      </c>
      <c r="Z2" s="97"/>
      <c r="AA2" s="98"/>
      <c r="AB2" s="96" t="s">
        <v>20</v>
      </c>
      <c r="AC2" s="97"/>
      <c r="AD2" s="98"/>
      <c r="AE2" s="72"/>
      <c r="AF2" s="72"/>
      <c r="AG2" s="96" t="s">
        <v>52</v>
      </c>
      <c r="AH2" s="97"/>
      <c r="AI2" s="98"/>
      <c r="AJ2" s="96" t="s">
        <v>54</v>
      </c>
      <c r="AK2" s="97"/>
      <c r="AL2" s="97"/>
      <c r="AM2" s="126" t="s">
        <v>53</v>
      </c>
      <c r="AN2" s="126"/>
      <c r="AO2" s="126"/>
      <c r="AP2" s="1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4.25" thickBot="1">
      <c r="A3" s="32" t="s">
        <v>0</v>
      </c>
      <c r="B3" s="32" t="s">
        <v>17</v>
      </c>
      <c r="C3" s="32" t="s">
        <v>11</v>
      </c>
      <c r="D3" s="32" t="s">
        <v>23</v>
      </c>
      <c r="E3" s="32" t="s">
        <v>10</v>
      </c>
      <c r="F3" s="13"/>
      <c r="G3" s="40" t="s">
        <v>8</v>
      </c>
      <c r="H3" s="41" t="s">
        <v>9</v>
      </c>
      <c r="I3" s="42" t="s">
        <v>10</v>
      </c>
      <c r="J3" s="40" t="s">
        <v>8</v>
      </c>
      <c r="K3" s="41" t="s">
        <v>9</v>
      </c>
      <c r="L3" s="42" t="s">
        <v>10</v>
      </c>
      <c r="M3" s="8" t="s">
        <v>8</v>
      </c>
      <c r="N3" s="15" t="s">
        <v>9</v>
      </c>
      <c r="O3" s="9" t="s">
        <v>10</v>
      </c>
      <c r="P3" s="8" t="s">
        <v>8</v>
      </c>
      <c r="Q3" s="15" t="s">
        <v>9</v>
      </c>
      <c r="R3" s="9" t="s">
        <v>10</v>
      </c>
      <c r="S3" s="8" t="s">
        <v>8</v>
      </c>
      <c r="T3" s="15" t="s">
        <v>9</v>
      </c>
      <c r="U3" s="9" t="s">
        <v>10</v>
      </c>
      <c r="V3" s="8" t="s">
        <v>8</v>
      </c>
      <c r="W3" s="15" t="s">
        <v>9</v>
      </c>
      <c r="X3" s="9" t="s">
        <v>10</v>
      </c>
      <c r="Y3" s="8" t="s">
        <v>8</v>
      </c>
      <c r="Z3" s="15" t="s">
        <v>9</v>
      </c>
      <c r="AA3" s="9" t="s">
        <v>10</v>
      </c>
      <c r="AB3" s="8" t="s">
        <v>8</v>
      </c>
      <c r="AC3" s="15" t="s">
        <v>9</v>
      </c>
      <c r="AD3" s="117" t="s">
        <v>10</v>
      </c>
      <c r="AE3" s="119" t="s">
        <v>0</v>
      </c>
      <c r="AF3" s="120" t="s">
        <v>51</v>
      </c>
      <c r="AG3" s="15" t="s">
        <v>8</v>
      </c>
      <c r="AH3" s="15" t="s">
        <v>9</v>
      </c>
      <c r="AI3" s="9" t="s">
        <v>10</v>
      </c>
      <c r="AJ3" s="112" t="s">
        <v>8</v>
      </c>
      <c r="AK3" s="107" t="s">
        <v>9</v>
      </c>
      <c r="AL3" s="124" t="s">
        <v>10</v>
      </c>
      <c r="AM3" s="113" t="s">
        <v>8</v>
      </c>
      <c r="AN3" s="113" t="s">
        <v>9</v>
      </c>
      <c r="AO3" s="127" t="s">
        <v>10</v>
      </c>
      <c r="AP3" s="12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46.5" customHeight="1" thickBot="1">
      <c r="A4" s="54" t="s">
        <v>29</v>
      </c>
      <c r="B4" s="51">
        <v>40470</v>
      </c>
      <c r="C4" s="65">
        <v>1415</v>
      </c>
      <c r="D4" s="62">
        <f>SUM(162500/1150)</f>
        <v>141.30434782608697</v>
      </c>
      <c r="E4" s="52">
        <v>200000</v>
      </c>
      <c r="F4" s="14"/>
      <c r="G4" s="43"/>
      <c r="H4" s="44"/>
      <c r="I4" s="45">
        <v>0</v>
      </c>
      <c r="J4" s="43"/>
      <c r="K4" s="44"/>
      <c r="L4" s="45">
        <f>SUM(K4*C4)</f>
        <v>0</v>
      </c>
      <c r="M4" s="51">
        <v>40470</v>
      </c>
      <c r="N4" s="68">
        <v>141</v>
      </c>
      <c r="O4" s="69">
        <f>SUM(N4*C4)</f>
        <v>199515</v>
      </c>
      <c r="P4" s="51">
        <v>40476</v>
      </c>
      <c r="Q4" s="35">
        <f>SUM(171500/1150)</f>
        <v>149.13043478260869</v>
      </c>
      <c r="R4" s="36">
        <f>SUM(Q4*C4)</f>
        <v>211019.5652173913</v>
      </c>
      <c r="S4" s="51">
        <v>40483</v>
      </c>
      <c r="T4" s="35">
        <f>SUM(195,300/1150)</f>
        <v>195.2608695652174</v>
      </c>
      <c r="U4" s="36">
        <f>SUM(T4*C4)</f>
        <v>276294.13043478265</v>
      </c>
      <c r="V4" s="51">
        <v>40490</v>
      </c>
      <c r="W4" s="35">
        <f>SUM(180,0/1150)</f>
        <v>180</v>
      </c>
      <c r="X4" s="36">
        <f>SUM(W4*C4)</f>
        <v>254700</v>
      </c>
      <c r="Y4" s="51">
        <v>40497</v>
      </c>
      <c r="Z4" s="35">
        <f>SUM(171,600/1150)</f>
        <v>171.52173913043478</v>
      </c>
      <c r="AA4" s="36">
        <f>SUM(Z4*C4)</f>
        <v>242703.26086956522</v>
      </c>
      <c r="AB4" s="51">
        <v>40504</v>
      </c>
      <c r="AC4" s="35">
        <v>159.83000000000001</v>
      </c>
      <c r="AD4" s="118">
        <f>SUM(AC4*C4)</f>
        <v>226159.45</v>
      </c>
      <c r="AE4" s="39" t="s">
        <v>29</v>
      </c>
      <c r="AF4" s="123">
        <v>1415</v>
      </c>
      <c r="AG4" s="79">
        <v>40504</v>
      </c>
      <c r="AH4" s="84">
        <v>159.83000000000001</v>
      </c>
      <c r="AI4" s="110">
        <f>SUM(AH4*AF4)</f>
        <v>226159.45</v>
      </c>
      <c r="AJ4" s="113">
        <v>40511</v>
      </c>
      <c r="AK4" s="109">
        <f>SUM(187000/1150)</f>
        <v>162.60869565217391</v>
      </c>
      <c r="AL4" s="125">
        <f>SUM(AK4*AF4)</f>
        <v>230091.30434782608</v>
      </c>
      <c r="AM4" s="114">
        <v>40520</v>
      </c>
      <c r="AN4" s="115">
        <f>SUM(183600/1150)</f>
        <v>159.65217391304347</v>
      </c>
      <c r="AO4" s="116">
        <f>SUM(AN4*AF4)</f>
        <v>225907.82608695651</v>
      </c>
      <c r="AP4" s="11"/>
    </row>
    <row r="5" spans="1:54" ht="52.5" customHeight="1" thickBot="1">
      <c r="A5" s="54" t="s">
        <v>34</v>
      </c>
      <c r="B5" s="51">
        <v>40470</v>
      </c>
      <c r="C5" s="39">
        <v>179.13</v>
      </c>
      <c r="D5" s="62">
        <f>SUM(642000/1150)</f>
        <v>558.26086956521738</v>
      </c>
      <c r="E5" s="53">
        <v>100000</v>
      </c>
      <c r="F5" s="14"/>
      <c r="G5" s="43"/>
      <c r="H5" s="44"/>
      <c r="I5" s="45">
        <v>0</v>
      </c>
      <c r="J5" s="43"/>
      <c r="K5" s="44"/>
      <c r="L5" s="45">
        <f>SUM(K5*C5)</f>
        <v>0</v>
      </c>
      <c r="M5" s="51">
        <v>40470</v>
      </c>
      <c r="N5" s="68">
        <f>SUM(667000/1150)</f>
        <v>580</v>
      </c>
      <c r="O5" s="69">
        <f>SUM(N5*C5)</f>
        <v>103895.4</v>
      </c>
      <c r="P5" s="51">
        <v>40476</v>
      </c>
      <c r="Q5" s="35">
        <f>SUM(633000/1150)</f>
        <v>550.43478260869563</v>
      </c>
      <c r="R5" s="36">
        <f>SUM(Q5*C5)</f>
        <v>98599.38260869564</v>
      </c>
      <c r="S5" s="51">
        <v>40483</v>
      </c>
      <c r="T5" s="35">
        <f>SUM(625000/1150)</f>
        <v>543.47826086956525</v>
      </c>
      <c r="U5" s="36">
        <f>SUM(T5*C5)</f>
        <v>97353.260869565216</v>
      </c>
      <c r="V5" s="51">
        <v>40490</v>
      </c>
      <c r="W5" s="35">
        <f>SUM(622,0/1150)</f>
        <v>622</v>
      </c>
      <c r="X5" s="36">
        <f>SUM(W5*C5)</f>
        <v>111418.86</v>
      </c>
      <c r="Y5" s="51">
        <v>40497</v>
      </c>
      <c r="Z5" s="35">
        <f>SUM(668,0/1150)</f>
        <v>668</v>
      </c>
      <c r="AA5" s="36">
        <f>SUM(Z5*C5)</f>
        <v>119658.84</v>
      </c>
      <c r="AB5" s="51">
        <v>40504</v>
      </c>
      <c r="AC5" s="70">
        <v>571.29999999999995</v>
      </c>
      <c r="AD5" s="118">
        <f>SUM(AC5*C5)</f>
        <v>102336.96899999998</v>
      </c>
      <c r="AE5" s="39" t="s">
        <v>48</v>
      </c>
      <c r="AF5" s="121">
        <v>1132</v>
      </c>
      <c r="AG5" s="79">
        <v>40504</v>
      </c>
      <c r="AH5" s="80">
        <v>90.43</v>
      </c>
      <c r="AI5" s="111">
        <f>SUM(AH5*AF5)</f>
        <v>102366.76000000001</v>
      </c>
      <c r="AJ5" s="113">
        <v>40511</v>
      </c>
      <c r="AK5" s="109">
        <f>SUM(100000/1150)</f>
        <v>86.956521739130437</v>
      </c>
      <c r="AL5" s="125">
        <f>SUM(AK5*AF5)</f>
        <v>98434.782608695648</v>
      </c>
      <c r="AM5" s="114">
        <v>40520</v>
      </c>
      <c r="AN5" s="108">
        <f>SUM(110500/1150)</f>
        <v>96.086956521739125</v>
      </c>
      <c r="AO5" s="116">
        <f>SUM(AN5*AF5)</f>
        <v>108770.43478260869</v>
      </c>
      <c r="AP5" s="11"/>
    </row>
    <row r="6" spans="1:54" ht="55.5" customHeight="1" thickBot="1">
      <c r="A6" s="54" t="s">
        <v>43</v>
      </c>
      <c r="B6" s="51">
        <v>40470</v>
      </c>
      <c r="C6" s="39">
        <v>1490.28</v>
      </c>
      <c r="D6" s="62">
        <f>SUM(231500/1150)</f>
        <v>201.30434782608697</v>
      </c>
      <c r="E6" s="53">
        <v>300000</v>
      </c>
      <c r="F6" s="14"/>
      <c r="G6" s="43"/>
      <c r="H6" s="44"/>
      <c r="I6" s="45">
        <v>0</v>
      </c>
      <c r="J6" s="43"/>
      <c r="K6" s="44"/>
      <c r="L6" s="45">
        <f>SUM(K6*C6)</f>
        <v>0</v>
      </c>
      <c r="M6" s="51">
        <v>40470</v>
      </c>
      <c r="N6" s="68">
        <f>SUM(230000/1150)</f>
        <v>200</v>
      </c>
      <c r="O6" s="69">
        <f>SUM(N6*C6)</f>
        <v>298056</v>
      </c>
      <c r="P6" s="51">
        <v>40476</v>
      </c>
      <c r="Q6" s="35">
        <f>SUM(257000/1150)</f>
        <v>223.47826086956522</v>
      </c>
      <c r="R6" s="36">
        <f>SUM(Q6*C6)</f>
        <v>333045.18260869564</v>
      </c>
      <c r="S6" s="51">
        <v>40483</v>
      </c>
      <c r="T6" s="35">
        <f>SUM(259000/1150)</f>
        <v>225.21739130434781</v>
      </c>
      <c r="U6" s="36">
        <f>SUM(T6*C6)</f>
        <v>335636.97391304345</v>
      </c>
      <c r="V6" s="51">
        <v>40490</v>
      </c>
      <c r="W6" s="35">
        <f>SUM(260000/1150)</f>
        <v>226.08695652173913</v>
      </c>
      <c r="X6" s="36">
        <f>SUM(W6*C6)</f>
        <v>336932.86956521741</v>
      </c>
      <c r="Y6" s="51">
        <v>40497</v>
      </c>
      <c r="Z6" s="35">
        <f>SUM(254000/1150)</f>
        <v>220.86956521739131</v>
      </c>
      <c r="AA6" s="36">
        <f>SUM(Z6*C6)</f>
        <v>329157.49565217394</v>
      </c>
      <c r="AB6" s="51">
        <v>40504</v>
      </c>
      <c r="AC6" s="35">
        <v>216.51</v>
      </c>
      <c r="AD6" s="118">
        <f>SUM(AC6*C6)</f>
        <v>322660.52279999998</v>
      </c>
      <c r="AE6" s="39" t="s">
        <v>50</v>
      </c>
      <c r="AF6" s="121">
        <v>4089</v>
      </c>
      <c r="AG6" s="79">
        <v>40504</v>
      </c>
      <c r="AH6" s="80">
        <v>78.91</v>
      </c>
      <c r="AI6" s="111">
        <f>SUM(AH6*AF6)</f>
        <v>322662.99</v>
      </c>
      <c r="AJ6" s="113">
        <v>40511</v>
      </c>
      <c r="AK6" s="109">
        <v>80.27</v>
      </c>
      <c r="AL6" s="109">
        <f>SUM(AH6*AF6)</f>
        <v>322662.99</v>
      </c>
      <c r="AM6" s="114">
        <v>40520</v>
      </c>
      <c r="AN6" s="109">
        <f>85.38</f>
        <v>85.38</v>
      </c>
      <c r="AO6" s="116">
        <f>SUM(AN6*AF6)</f>
        <v>349118.82</v>
      </c>
      <c r="AP6" s="11"/>
    </row>
    <row r="7" spans="1:54" ht="46.5" customHeight="1" thickBot="1">
      <c r="A7" s="54" t="s">
        <v>37</v>
      </c>
      <c r="B7" s="51">
        <v>40470</v>
      </c>
      <c r="C7" s="39">
        <v>954</v>
      </c>
      <c r="D7" s="62">
        <f>SUM(361500/1150)</f>
        <v>314.3478260869565</v>
      </c>
      <c r="E7" s="64">
        <v>300000</v>
      </c>
      <c r="F7" s="14"/>
      <c r="G7" s="43"/>
      <c r="H7" s="44"/>
      <c r="I7" s="45">
        <v>0</v>
      </c>
      <c r="J7" s="43"/>
      <c r="K7" s="44"/>
      <c r="L7" s="45">
        <f>SUM(K7*C7)</f>
        <v>0</v>
      </c>
      <c r="M7" s="51">
        <v>40470</v>
      </c>
      <c r="N7" s="68">
        <f>SUM(366000/1150)</f>
        <v>318.26086956521738</v>
      </c>
      <c r="O7" s="69">
        <f>SUM(N7*C7)</f>
        <v>303620.86956521735</v>
      </c>
      <c r="P7" s="51">
        <v>40476</v>
      </c>
      <c r="Q7" s="35">
        <f>SUM(365500/1150)</f>
        <v>317.82608695652175</v>
      </c>
      <c r="R7" s="36">
        <f>SUM(Q7*C7)</f>
        <v>303206.08695652173</v>
      </c>
      <c r="S7" s="51">
        <v>40483</v>
      </c>
      <c r="T7" s="35">
        <f>SUM(380500/1150)</f>
        <v>330.86956521739131</v>
      </c>
      <c r="U7" s="36">
        <f>SUM(T7*C7)</f>
        <v>315649.5652173913</v>
      </c>
      <c r="V7" s="51">
        <v>40490</v>
      </c>
      <c r="W7" s="35">
        <f>SUM(410000/1150)</f>
        <v>356.52173913043481</v>
      </c>
      <c r="X7" s="36">
        <f>SUM(W7*C7)</f>
        <v>340121.73913043481</v>
      </c>
      <c r="Y7" s="51">
        <v>40497</v>
      </c>
      <c r="Z7" s="35">
        <f>SUM(389000/1150)</f>
        <v>338.26086956521738</v>
      </c>
      <c r="AA7" s="36">
        <f>SUM(Z7*C7)</f>
        <v>322700.86956521735</v>
      </c>
      <c r="AB7" s="51">
        <v>40504</v>
      </c>
      <c r="AC7" s="35">
        <v>342.17</v>
      </c>
      <c r="AD7" s="118">
        <f>SUM(AC7*C7)</f>
        <v>326430.18</v>
      </c>
      <c r="AE7" s="39" t="s">
        <v>37</v>
      </c>
      <c r="AF7" s="122">
        <v>954</v>
      </c>
      <c r="AG7" s="79">
        <v>40504</v>
      </c>
      <c r="AH7" s="80">
        <v>342.17</v>
      </c>
      <c r="AI7" s="111">
        <f>SUM(AH7*AF7)</f>
        <v>326430.18</v>
      </c>
      <c r="AJ7" s="113">
        <v>40511</v>
      </c>
      <c r="AK7" s="109">
        <f>SUM(377500/1150)</f>
        <v>328.26086956521738</v>
      </c>
      <c r="AL7" s="109">
        <f>SUM(AK7*AF7)</f>
        <v>313160.86956521735</v>
      </c>
      <c r="AM7" s="114">
        <v>40520</v>
      </c>
      <c r="AN7" s="109">
        <f>SUM(390000/1150)</f>
        <v>339.13043478260869</v>
      </c>
      <c r="AO7" s="116">
        <f>SUM(AN7*AF7)</f>
        <v>323530.4347826087</v>
      </c>
      <c r="AP7" s="11"/>
    </row>
    <row r="8" spans="1:54" ht="52.5" customHeight="1" thickBot="1">
      <c r="A8" s="50" t="s">
        <v>40</v>
      </c>
      <c r="B8" s="51">
        <v>40470</v>
      </c>
      <c r="C8" s="39">
        <v>460</v>
      </c>
      <c r="D8" s="62">
        <f>SUM(250000/1150)</f>
        <v>217.39130434782609</v>
      </c>
      <c r="E8" s="46">
        <v>100000</v>
      </c>
      <c r="F8" s="14"/>
      <c r="G8" s="43"/>
      <c r="H8" s="44"/>
      <c r="I8" s="45">
        <v>0</v>
      </c>
      <c r="J8" s="43"/>
      <c r="K8" s="44"/>
      <c r="L8" s="45">
        <f>SUM(K8*C8)</f>
        <v>0</v>
      </c>
      <c r="M8" s="51">
        <v>40470</v>
      </c>
      <c r="N8" s="71">
        <f>SUM(245000/1150)</f>
        <v>213.04347826086956</v>
      </c>
      <c r="O8" s="69">
        <f>SUM(N8*C8)</f>
        <v>98000</v>
      </c>
      <c r="P8" s="51">
        <v>40476</v>
      </c>
      <c r="Q8" s="35">
        <f>SUM(262,0/1150)</f>
        <v>262</v>
      </c>
      <c r="R8" s="36">
        <f>SUM(Q8*C8)</f>
        <v>120520</v>
      </c>
      <c r="S8" s="51">
        <v>40483</v>
      </c>
      <c r="T8" s="35">
        <f>SUM(280,0/1150)</f>
        <v>280</v>
      </c>
      <c r="U8" s="36">
        <f>SUM(T8*C8)</f>
        <v>128800</v>
      </c>
      <c r="V8" s="51">
        <v>40490</v>
      </c>
      <c r="W8" s="35">
        <f>SUM(280,0/1150)</f>
        <v>280</v>
      </c>
      <c r="X8" s="36">
        <f>SUM(W8*C8)</f>
        <v>128800</v>
      </c>
      <c r="Y8" s="51">
        <v>40497</v>
      </c>
      <c r="Z8" s="35">
        <f>SUM(290,0/1150)</f>
        <v>290</v>
      </c>
      <c r="AA8" s="36">
        <f>SUM(Z8*C8)</f>
        <v>133400</v>
      </c>
      <c r="AB8" s="51">
        <v>40504</v>
      </c>
      <c r="AC8" s="35">
        <v>252.17</v>
      </c>
      <c r="AD8" s="118">
        <f>SUM(AC8*C8)</f>
        <v>115998.2</v>
      </c>
      <c r="AE8" s="39" t="s">
        <v>49</v>
      </c>
      <c r="AF8" s="121">
        <v>2322</v>
      </c>
      <c r="AG8" s="79">
        <v>40504</v>
      </c>
      <c r="AH8" s="80">
        <v>49.95</v>
      </c>
      <c r="AI8" s="111">
        <f>SUM(AH8*AF8)</f>
        <v>115983.90000000001</v>
      </c>
      <c r="AJ8" s="113">
        <v>40511</v>
      </c>
      <c r="AK8" s="109">
        <v>51.59</v>
      </c>
      <c r="AL8" s="109">
        <f>SUM(AK8*AF8)</f>
        <v>119791.98000000001</v>
      </c>
      <c r="AM8" s="114">
        <v>40520</v>
      </c>
      <c r="AN8" s="109">
        <v>54.12</v>
      </c>
      <c r="AO8" s="116">
        <f>SUM(AN8*AF8)</f>
        <v>125666.64</v>
      </c>
      <c r="AP8" s="11"/>
    </row>
    <row r="9" spans="1:54" ht="6.75" customHeight="1" thickBot="1">
      <c r="A9" s="11"/>
      <c r="B9" s="11"/>
      <c r="C9" s="11"/>
      <c r="D9" s="11"/>
      <c r="E9" s="11"/>
      <c r="F9" s="11"/>
      <c r="G9" s="25"/>
      <c r="H9" s="26"/>
      <c r="I9" s="2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8"/>
      <c r="AH9" s="76"/>
      <c r="AI9" s="75"/>
      <c r="AJ9" s="77"/>
      <c r="AK9" s="11"/>
      <c r="AL9" s="11"/>
      <c r="AM9" s="11"/>
      <c r="AN9" s="11"/>
      <c r="AO9" s="11"/>
      <c r="AP9" s="11"/>
    </row>
    <row r="10" spans="1:54" ht="21.75" customHeight="1" thickBot="1">
      <c r="A10" s="33"/>
      <c r="B10" s="102"/>
      <c r="C10" s="102"/>
      <c r="D10" s="34"/>
      <c r="E10" s="20">
        <f>SUM(E4:E8)</f>
        <v>1000000</v>
      </c>
      <c r="F10" s="7"/>
      <c r="G10" s="103" t="s">
        <v>12</v>
      </c>
      <c r="H10" s="104"/>
      <c r="I10" s="24">
        <f>SUM(I4:I8)</f>
        <v>0</v>
      </c>
      <c r="J10" s="104" t="s">
        <v>12</v>
      </c>
      <c r="K10" s="104"/>
      <c r="L10" s="24">
        <f>SUM(L4:L8)</f>
        <v>0</v>
      </c>
      <c r="M10" s="103" t="s">
        <v>12</v>
      </c>
      <c r="N10" s="104"/>
      <c r="O10" s="19">
        <f>SUM(O4:O8)</f>
        <v>1003087.2695652174</v>
      </c>
      <c r="P10" s="103" t="s">
        <v>12</v>
      </c>
      <c r="Q10" s="104"/>
      <c r="R10" s="19">
        <f>SUM(R4:R8)</f>
        <v>1066390.2173913042</v>
      </c>
      <c r="S10" s="103" t="s">
        <v>12</v>
      </c>
      <c r="T10" s="104"/>
      <c r="U10" s="19">
        <f>SUM(U4:U8)</f>
        <v>1153733.9304347828</v>
      </c>
      <c r="V10" s="103" t="s">
        <v>12</v>
      </c>
      <c r="W10" s="104"/>
      <c r="X10" s="20">
        <f>SUM(X4:X8)</f>
        <v>1171973.4686956522</v>
      </c>
      <c r="Y10" s="103" t="s">
        <v>12</v>
      </c>
      <c r="Z10" s="104"/>
      <c r="AA10" s="20">
        <f>SUM(AA4:AA8)</f>
        <v>1147620.4660869564</v>
      </c>
      <c r="AB10" s="103" t="s">
        <v>12</v>
      </c>
      <c r="AC10" s="104"/>
      <c r="AD10" s="20">
        <f>SUM(AD4:AD8)</f>
        <v>1093585.3217999998</v>
      </c>
      <c r="AE10" s="73"/>
      <c r="AF10" s="73"/>
      <c r="AG10" s="103" t="s">
        <v>12</v>
      </c>
      <c r="AH10" s="104"/>
      <c r="AI10" s="20">
        <f>SUM(AI4:AI8)</f>
        <v>1093603.2799999998</v>
      </c>
      <c r="AJ10" s="103" t="s">
        <v>12</v>
      </c>
      <c r="AK10" s="104"/>
      <c r="AL10" s="83">
        <f>SUM(AL4:AL8)</f>
        <v>1084141.926521739</v>
      </c>
      <c r="AM10" s="81" t="s">
        <v>12</v>
      </c>
      <c r="AN10" s="82"/>
      <c r="AO10" s="20">
        <f>SUM(AO4:AO8)</f>
        <v>1132994.1556521738</v>
      </c>
      <c r="AP10" s="11"/>
    </row>
    <row r="11" spans="1:54" ht="27" customHeight="1" thickBot="1">
      <c r="A11" s="33"/>
      <c r="B11" s="33"/>
      <c r="C11" s="33"/>
      <c r="D11" s="33"/>
      <c r="E11" s="7"/>
      <c r="F11" s="7"/>
      <c r="G11" s="28"/>
      <c r="H11" s="17" t="s">
        <v>15</v>
      </c>
      <c r="I11" s="37">
        <f>SUM(I10-E10)/(E10)</f>
        <v>-1</v>
      </c>
      <c r="J11" s="28"/>
      <c r="K11" s="17" t="s">
        <v>15</v>
      </c>
      <c r="L11" s="37" t="s">
        <v>21</v>
      </c>
      <c r="M11" s="7"/>
      <c r="N11" s="17" t="s">
        <v>15</v>
      </c>
      <c r="O11" s="38">
        <f>SUM(O10-E10)/(E10)</f>
        <v>3.0872695652174298E-3</v>
      </c>
      <c r="P11" s="7"/>
      <c r="Q11" s="17" t="s">
        <v>15</v>
      </c>
      <c r="R11" s="38">
        <f>SUM(R10-E10)/E10</f>
        <v>6.6390217391304213E-2</v>
      </c>
      <c r="S11" s="7"/>
      <c r="T11" s="17" t="s">
        <v>15</v>
      </c>
      <c r="U11" s="38">
        <f>SUM(U10-E10)/E10</f>
        <v>0.15373393043478276</v>
      </c>
      <c r="V11" s="7"/>
      <c r="W11" s="17" t="s">
        <v>15</v>
      </c>
      <c r="X11" s="38">
        <f>SUM(X10-E10)/E10</f>
        <v>0.17197346869565219</v>
      </c>
      <c r="Y11" s="7"/>
      <c r="Z11" s="17" t="s">
        <v>15</v>
      </c>
      <c r="AA11" s="38">
        <f>SUM(AA10-E10)/E10</f>
        <v>0.14762046608695645</v>
      </c>
      <c r="AB11" s="7"/>
      <c r="AC11" s="17" t="s">
        <v>15</v>
      </c>
      <c r="AD11" s="38">
        <f>SUM(AD10-E10)/E10</f>
        <v>9.3585321799999802E-2</v>
      </c>
      <c r="AE11" s="74"/>
      <c r="AF11" s="74"/>
      <c r="AG11" s="7"/>
      <c r="AH11" s="17" t="s">
        <v>15</v>
      </c>
      <c r="AI11" s="38">
        <f>SUM(AI10-E10)/E10</f>
        <v>9.3603279999999789E-2</v>
      </c>
      <c r="AJ11" s="7"/>
      <c r="AK11" s="17" t="s">
        <v>15</v>
      </c>
      <c r="AL11" s="38">
        <f>SUM(AL10-E10)/E10</f>
        <v>8.4141926521738991E-2</v>
      </c>
      <c r="AM11" s="7"/>
      <c r="AN11" s="18" t="s">
        <v>15</v>
      </c>
      <c r="AO11" s="38">
        <f>SUM(AO10-E10)/E10</f>
        <v>0.13299415565217379</v>
      </c>
      <c r="AP11" s="11"/>
    </row>
    <row r="12" spans="1:54" ht="14.25" thickBot="1">
      <c r="A12" s="11"/>
      <c r="B12" s="11"/>
      <c r="C12" s="11"/>
      <c r="D12" s="11"/>
      <c r="E12" s="11"/>
      <c r="F12" s="11"/>
      <c r="G12" s="29"/>
      <c r="H12" s="30"/>
      <c r="I12" s="3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4" spans="1:54">
      <c r="AA14" s="22"/>
    </row>
    <row r="22" spans="34:34">
      <c r="AH22">
        <v>544444.12</v>
      </c>
    </row>
  </sheetData>
  <mergeCells count="24">
    <mergeCell ref="AM2:AO2"/>
    <mergeCell ref="AG2:AI2"/>
    <mergeCell ref="AJ2:AL2"/>
    <mergeCell ref="Y10:Z10"/>
    <mergeCell ref="M10:N10"/>
    <mergeCell ref="P10:Q10"/>
    <mergeCell ref="S10:T10"/>
    <mergeCell ref="V10:W10"/>
    <mergeCell ref="AB2:AD2"/>
    <mergeCell ref="B10:C10"/>
    <mergeCell ref="AJ10:AK10"/>
    <mergeCell ref="AG10:AH10"/>
    <mergeCell ref="AB10:AC10"/>
    <mergeCell ref="G10:H10"/>
    <mergeCell ref="J10:K10"/>
    <mergeCell ref="A1:R1"/>
    <mergeCell ref="A2:E2"/>
    <mergeCell ref="V2:X2"/>
    <mergeCell ref="Y2:AA2"/>
    <mergeCell ref="G2:I2"/>
    <mergeCell ref="M2:O2"/>
    <mergeCell ref="P2:R2"/>
    <mergeCell ref="S2:U2"/>
    <mergeCell ref="J2:L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P1"/>
  <sheetViews>
    <sheetView workbookViewId="0">
      <selection activeCell="A2" sqref="A2"/>
    </sheetView>
  </sheetViews>
  <sheetFormatPr defaultRowHeight="13.5"/>
  <sheetData>
    <row r="1" spans="1:16" ht="39.75" customHeight="1">
      <c r="A1" s="105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</sheetData>
  <mergeCells count="1">
    <mergeCell ref="A1:P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"/>
  <sheetViews>
    <sheetView workbookViewId="0">
      <selection activeCell="A2" sqref="A2"/>
    </sheetView>
  </sheetViews>
  <sheetFormatPr defaultRowHeight="13.5"/>
  <sheetData>
    <row r="1" spans="1:16" ht="42.75" customHeight="1">
      <c r="A1" s="105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</sheetData>
  <mergeCells count="1">
    <mergeCell ref="A1:P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 #1&gt;INVESTMENT PURCHASE</vt:lpstr>
      <vt:lpstr>SHEET#2&gt;SHARE PRICE TREND</vt:lpstr>
      <vt:lpstr>SHEET #3&gt;PIE CHART</vt:lpstr>
      <vt:lpstr>SHEET#4&gt;LINEAR GRAPH</vt:lpstr>
    </vt:vector>
  </TitlesOfParts>
  <Company>mshome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rondo</dc:creator>
  <cp:lastModifiedBy>101101</cp:lastModifiedBy>
  <dcterms:created xsi:type="dcterms:W3CDTF">2009-09-21T11:07:25Z</dcterms:created>
  <dcterms:modified xsi:type="dcterms:W3CDTF">2010-12-08T06:35:40Z</dcterms:modified>
</cp:coreProperties>
</file>