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65456" windowWidth="28620" windowHeight="15680" activeTab="0"/>
  </bookViews>
  <sheets>
    <sheet name="overview" sheetId="1" r:id="rId1"/>
    <sheet name="Dept. Analysis - Part 1" sheetId="2" r:id="rId2"/>
    <sheet name="Customer Profile - Part 2" sheetId="3" r:id="rId3"/>
    <sheet name="Life Stage Analysis - Part 3" sheetId="4" r:id="rId4"/>
    <sheet name="Merchandise Mix - Part 4" sheetId="5" r:id="rId5"/>
    <sheet name="Market Trend Analysis - Part 5" sheetId="6" r:id="rId6"/>
    <sheet name="Six-mth Pln - Part 6" sheetId="7" r:id="rId7"/>
    <sheet name="Asst Unit Pln by Cls - Part 7" sheetId="8" r:id="rId8"/>
    <sheet name="Operating Statmt - Part 8" sheetId="9" r:id="rId9"/>
    <sheet name="WOS 6 Month Plan - Part 9" sheetId="10" r:id="rId10"/>
  </sheets>
  <definedNames>
    <definedName name="_xlnm.Print_Area" localSheetId="6">'Six-mth Pln - Part 6'!$A$1:$J$30</definedName>
  </definedNames>
  <calcPr fullCalcOnLoad="1"/>
</workbook>
</file>

<file path=xl/sharedStrings.xml><?xml version="1.0" encoding="utf-8"?>
<sst xmlns="http://schemas.openxmlformats.org/spreadsheetml/2006/main" count="492" uniqueCount="279">
  <si>
    <t>WOS/STS/FM</t>
  </si>
  <si>
    <t>Areas of Investigation</t>
  </si>
  <si>
    <t>Opportunities</t>
  </si>
  <si>
    <t>Threats</t>
  </si>
  <si>
    <t>1, Current Sales Trends</t>
  </si>
  <si>
    <t>% Increase or Decrease</t>
  </si>
  <si>
    <t>Season: Fall</t>
  </si>
  <si>
    <t>Year: 2010</t>
  </si>
  <si>
    <t>Part 6 - Month Stock to Sales Plan</t>
  </si>
  <si>
    <t xml:space="preserve">Create the Operating Statement for your Six month Stock-to-Sales Plan.  </t>
  </si>
  <si>
    <t xml:space="preserve">Purchases = Total Season plan purchases.  </t>
  </si>
  <si>
    <t xml:space="preserve">6 month sales and stock plan, and average unit retail by class. </t>
  </si>
  <si>
    <t xml:space="preserve">% Increase or Decrease to LY </t>
  </si>
  <si>
    <t>9. Legal</t>
  </si>
  <si>
    <t>10. Other</t>
  </si>
  <si>
    <t>Actual-Last Year</t>
  </si>
  <si>
    <t>Plan</t>
  </si>
  <si>
    <t>Classification 1: Long Sleeve Blouses</t>
  </si>
  <si>
    <t>Percentage of Total: 47%</t>
  </si>
  <si>
    <t>Price Points</t>
  </si>
  <si>
    <t>% to total</t>
  </si>
  <si>
    <t>Sizes</t>
  </si>
  <si>
    <t>XX-Small</t>
  </si>
  <si>
    <t>X-Small</t>
  </si>
  <si>
    <t>Colors</t>
  </si>
  <si>
    <t xml:space="preserve">Black </t>
  </si>
  <si>
    <t>Grey</t>
  </si>
  <si>
    <t>Ivory</t>
  </si>
  <si>
    <t xml:space="preserve">Blue </t>
  </si>
  <si>
    <t>Brown</t>
  </si>
  <si>
    <t>Print</t>
  </si>
  <si>
    <t>Classification 2: 3/4 length Sleeve Blouses</t>
  </si>
  <si>
    <t xml:space="preserve">Note: Net Sales = Total Season Plan Sales, MD's = Total Season MD's $ and %, Beg. Stock = 1st Month BOM Stock, </t>
  </si>
  <si>
    <t xml:space="preserve">Week 9 -WOS </t>
  </si>
  <si>
    <t xml:space="preserve">Note: Everything must balance to 100.0% this represents your entire Department you have chosen for your project! </t>
  </si>
  <si>
    <t xml:space="preserve">Next, for each classification identified you need to give the price points, sizes and colors represented and how much they are worth </t>
  </si>
  <si>
    <t xml:space="preserve">to your dept. by %. </t>
  </si>
  <si>
    <t>End of Month Stock</t>
  </si>
  <si>
    <t>AUG</t>
  </si>
  <si>
    <t>SEPT</t>
  </si>
  <si>
    <t>OCT</t>
  </si>
  <si>
    <t>NOV</t>
  </si>
  <si>
    <t>DEC</t>
  </si>
  <si>
    <t>JAN</t>
  </si>
  <si>
    <t>Class: Long Sleeved Blouses</t>
  </si>
  <si>
    <t>Average Retail</t>
  </si>
  <si>
    <t>Class: 3/4 Lengh Blouses</t>
  </si>
  <si>
    <t>Class: Cap Sleeved Blouses</t>
  </si>
  <si>
    <t>Class: Sleeveless Blouses</t>
  </si>
  <si>
    <t>Future Sales</t>
  </si>
  <si>
    <t>Feb</t>
  </si>
  <si>
    <t>Plan-This Year</t>
  </si>
  <si>
    <t>Markdown % Total</t>
  </si>
  <si>
    <t>Actual Markdown</t>
  </si>
  <si>
    <t>Sales Change %</t>
  </si>
  <si>
    <t>Average Stock</t>
  </si>
  <si>
    <t>PLN</t>
  </si>
  <si>
    <t>ACT</t>
  </si>
  <si>
    <t>Turnover</t>
  </si>
  <si>
    <t>Classification 4: Sleeveless Blouses</t>
  </si>
  <si>
    <t>Percentage of Total: 14%</t>
  </si>
  <si>
    <t>Purple</t>
  </si>
  <si>
    <t>Orange</t>
  </si>
  <si>
    <t xml:space="preserve"> increase or decrease compared to Last Year for the current period. </t>
  </si>
  <si>
    <t xml:space="preserve">Example: </t>
  </si>
  <si>
    <t xml:space="preserve">Total Dept. = 100% </t>
  </si>
  <si>
    <t xml:space="preserve">Sweatshirts  = 20% </t>
  </si>
  <si>
    <t xml:space="preserve">Sweaters = 15% </t>
  </si>
  <si>
    <t xml:space="preserve">Buttom up Shirts 30% </t>
  </si>
  <si>
    <t>T- Shirts = 35%</t>
  </si>
  <si>
    <t xml:space="preserve">T-Shirts = 35% </t>
  </si>
  <si>
    <t xml:space="preserve">Use Statistical information by gathering Historical Demographic information and Psychographic Information to create this table. </t>
  </si>
  <si>
    <t>Dept: Savvy Shirts and Blouses</t>
  </si>
  <si>
    <t>According to Nordstrom and MSN Money, Current Sales increased +5.8% for 3rd quarter</t>
  </si>
  <si>
    <t>According to nrf.com, 2.3% growth in consumer confidence</t>
  </si>
  <si>
    <t>Department: Women's Savvy Shirts and Blouses</t>
  </si>
  <si>
    <t>Season: Spring</t>
  </si>
  <si>
    <t>Year: 2011</t>
  </si>
  <si>
    <t xml:space="preserve">Look at economic, social, political factors, competition, promotional strategies, special events, fashion trends or remodeling </t>
  </si>
  <si>
    <t>Factor</t>
  </si>
  <si>
    <t>Opportunities%</t>
  </si>
  <si>
    <t xml:space="preserve">Threats % </t>
  </si>
  <si>
    <t xml:space="preserve">Total </t>
  </si>
  <si>
    <t>2. Economic Trends</t>
  </si>
  <si>
    <t>3. Fashion Trends</t>
  </si>
  <si>
    <t>4. Promotion</t>
  </si>
  <si>
    <t>5. Competition</t>
  </si>
  <si>
    <t>6. Expansion</t>
  </si>
  <si>
    <t>7. Social/Political</t>
  </si>
  <si>
    <t>After reviewing info on ethnicity from the 2000 census:</t>
  </si>
  <si>
    <t xml:space="preserve">Creat the 6 Month Plan using the WOS method of Flowing your Stocks. Refer to Lecture and Book. </t>
  </si>
  <si>
    <t>Savvy Department</t>
  </si>
  <si>
    <t>Unit Assortment Plan</t>
  </si>
  <si>
    <t>Plan- This Year</t>
  </si>
  <si>
    <t>Beg Month Stock</t>
  </si>
  <si>
    <t>Units to Buy</t>
  </si>
  <si>
    <t>Company: Nordstrom</t>
  </si>
  <si>
    <t>56% of the population earns more than $50,000 per year</t>
  </si>
  <si>
    <t>-approximately 6% of the population is black</t>
  </si>
  <si>
    <t>-approximately 6% of the population Is Asian</t>
  </si>
  <si>
    <t>Psychographics</t>
  </si>
  <si>
    <t xml:space="preserve">Week 7 - Classification &amp; Assortment Planning </t>
  </si>
  <si>
    <t>Week 8 - Operating Statement</t>
  </si>
  <si>
    <t>Analysis to determine your departments sales % increase or decrease by looking at Opportunites and Threats.</t>
  </si>
  <si>
    <t>% OF</t>
  </si>
  <si>
    <t>Percentage of Total: 22%</t>
  </si>
  <si>
    <t>orange</t>
  </si>
  <si>
    <t>Classification 3: Cap Sleeve Blouses</t>
  </si>
  <si>
    <t>Percentage of Total: 17%</t>
  </si>
  <si>
    <t>NET SALES</t>
  </si>
  <si>
    <t>1.)NET SALES</t>
  </si>
  <si>
    <t>2.)MARKDOWNS</t>
  </si>
  <si>
    <t>7.)NET PURCHASES</t>
  </si>
  <si>
    <t>8.)TOTAL STOCK</t>
  </si>
  <si>
    <t>Excel formulas are critical for this assignment</t>
  </si>
  <si>
    <t>Now you will develop the classification plan using the class % ttl from your Dept. Analysis for your Plan Purchases</t>
  </si>
  <si>
    <t>Then, you will create the assortment plan based on the data from your Dept. Analysis by classification data from your</t>
  </si>
  <si>
    <t>Mar</t>
  </si>
  <si>
    <t>April</t>
  </si>
  <si>
    <t>Aug</t>
  </si>
  <si>
    <t>Sept</t>
  </si>
  <si>
    <t>Oct</t>
  </si>
  <si>
    <t>Nov</t>
  </si>
  <si>
    <t>Dec</t>
  </si>
  <si>
    <t>Jan</t>
  </si>
  <si>
    <t>Long-Sleeve Blouses:</t>
  </si>
  <si>
    <t>Product in dept: trendy sleeveless tops, cap sleeve blouses,</t>
  </si>
  <si>
    <t>Price Points:</t>
  </si>
  <si>
    <t>Large</t>
  </si>
  <si>
    <t>8. New Product</t>
  </si>
  <si>
    <t>that might effect your target customer's buying decision.  After all identified you will come up with an overall % for your departments</t>
  </si>
  <si>
    <t xml:space="preserve">scale adustments, color, pricing or quality. </t>
  </si>
  <si>
    <t>Beg. Month Stock</t>
  </si>
  <si>
    <t>Sales</t>
  </si>
  <si>
    <t>Sales % Total</t>
  </si>
  <si>
    <t>Markdowns</t>
  </si>
  <si>
    <t>Markdown $ Total</t>
  </si>
  <si>
    <t>Purchases</t>
  </si>
  <si>
    <t>End Month Stock</t>
  </si>
  <si>
    <t xml:space="preserve">Modify and adjust the assortment for your Department on your Dept. Analysis.  Changes should reflect changes to style mix, size </t>
  </si>
  <si>
    <t>Blue</t>
  </si>
  <si>
    <t>16.)GROSS PROFIT</t>
  </si>
  <si>
    <t>17.)CASH DISCOUNT</t>
  </si>
  <si>
    <t>18.)GROSS MARGIN</t>
  </si>
  <si>
    <t>19.)SALES PROMOTION</t>
  </si>
  <si>
    <t>20.)PERSONNEL</t>
  </si>
  <si>
    <t>21.)MERCHANDISING</t>
  </si>
  <si>
    <t>22.)DISTRIBUTION/SUPPORT</t>
  </si>
  <si>
    <t>23.)INDIRECT EXPENSES</t>
  </si>
  <si>
    <t>24.)TOTAL EXPENSES</t>
  </si>
  <si>
    <t>Increase in sales associates on sales floor. +.05%</t>
  </si>
  <si>
    <t>New merchandise supports increased number of long-sleeved blouses. +.05%</t>
  </si>
  <si>
    <t>New Spring season sale missed. -.50%</t>
  </si>
  <si>
    <t>Stock: sleevless blouses, cap sleeve blouses, l3/4 length sleeve blouses, long-sleeved blouses</t>
  </si>
  <si>
    <t>Stock: ¾ length blouses, long-sleeved tops</t>
  </si>
  <si>
    <t>Segment Analysis</t>
  </si>
  <si>
    <t>Segment 1:</t>
  </si>
  <si>
    <t xml:space="preserve">Single female: </t>
  </si>
  <si>
    <t>Age: 18-25:</t>
  </si>
  <si>
    <t>Income: 0-49,999: 46%</t>
  </si>
  <si>
    <t>Segment 2:</t>
  </si>
  <si>
    <t>Single (female): 24%</t>
  </si>
  <si>
    <t>Married (female): 42%</t>
  </si>
  <si>
    <t>Age: 26-45: 21%</t>
  </si>
  <si>
    <t>Colors: prints, bolder colors, white, black</t>
  </si>
  <si>
    <t>Sizes: S-L</t>
  </si>
  <si>
    <t>Segment 3:</t>
  </si>
  <si>
    <t>Age: 45-55: 10%</t>
  </si>
  <si>
    <t>Colors: Neutral colors (black, sand, white), some prints, muted designs</t>
  </si>
  <si>
    <t>Total</t>
  </si>
  <si>
    <t xml:space="preserve">Colors: </t>
  </si>
  <si>
    <t>White</t>
  </si>
  <si>
    <t>Black</t>
  </si>
  <si>
    <t>Pink</t>
  </si>
  <si>
    <t>Green</t>
  </si>
  <si>
    <t xml:space="preserve">Sizes: </t>
  </si>
  <si>
    <t>Petite</t>
  </si>
  <si>
    <t>Small</t>
  </si>
  <si>
    <t>Medium</t>
  </si>
  <si>
    <t xml:space="preserve">The format needs to show your 4-6 classfications for your Dept. you have chosen and how much they represent to your total Dept. </t>
  </si>
  <si>
    <t xml:space="preserve">You need to create an excel spreadsheet for your Project with formulas where applicable.  </t>
  </si>
  <si>
    <t>75-84: 3%</t>
  </si>
  <si>
    <t>85+:</t>
  </si>
  <si>
    <t>Income</t>
  </si>
  <si>
    <t xml:space="preserve">0-15,000: </t>
  </si>
  <si>
    <t xml:space="preserve">15,000-24,999: </t>
  </si>
  <si>
    <t xml:space="preserve">25,000-34,999: </t>
  </si>
  <si>
    <t xml:space="preserve">35,000-49,999: </t>
  </si>
  <si>
    <t>50,000-74,999:</t>
  </si>
  <si>
    <t>75,000-99,999:</t>
  </si>
  <si>
    <t>100,000-149,999:</t>
  </si>
  <si>
    <t>150,000-199,999:</t>
  </si>
  <si>
    <t>200,000+:</t>
  </si>
  <si>
    <t>Education</t>
  </si>
  <si>
    <t xml:space="preserve">No high school diploma attained: </t>
  </si>
  <si>
    <t xml:space="preserve">High school graduate: </t>
  </si>
  <si>
    <t xml:space="preserve">Some college, no degree: </t>
  </si>
  <si>
    <t xml:space="preserve">Associate’s degree: </t>
  </si>
  <si>
    <t xml:space="preserve">Bachelor’s degree: </t>
  </si>
  <si>
    <t>Summary of Statistics</t>
  </si>
  <si>
    <t>Focuses on the customer segments that you as a buyer will be buying for given what you have just learned about doing your</t>
  </si>
  <si>
    <t>15% of the population is over 55 years of age</t>
  </si>
  <si>
    <t>Long-sleeved blouses trending currently. +1.0%</t>
  </si>
  <si>
    <t>Increased yearly sale promotions. +1.5%</t>
  </si>
  <si>
    <t>Limited competition due to location. +2.0%</t>
  </si>
  <si>
    <t>44% of the population earns less than $50,000 per year</t>
  </si>
  <si>
    <t>25.)TOTAL PROFIT OR LOSS</t>
  </si>
  <si>
    <t>RETAIL REDUCTIONS:</t>
  </si>
  <si>
    <t>EXPENSES:</t>
  </si>
  <si>
    <t>OPERATING STATEMENT</t>
  </si>
  <si>
    <t>RETAIL $</t>
  </si>
  <si>
    <t>COST $</t>
  </si>
  <si>
    <t>MARKUP %</t>
  </si>
  <si>
    <t>COMPLIMENT %</t>
  </si>
  <si>
    <t xml:space="preserve">COST </t>
  </si>
  <si>
    <t>SIX-MONTH DOLLAR PLAN - Stock to Sales Ratio Method</t>
  </si>
  <si>
    <t>Merchandise Buying</t>
  </si>
  <si>
    <t xml:space="preserve">Part 1 -  Dept. Analysis </t>
  </si>
  <si>
    <t xml:space="preserve">Part 2 - Customer Profile </t>
  </si>
  <si>
    <t xml:space="preserve">Part 3 -  Life Stage Analysis </t>
  </si>
  <si>
    <t>Part 4 - Merchandise Mix Modification</t>
  </si>
  <si>
    <t>Part 5 - Market Trend Analysis</t>
  </si>
  <si>
    <t>The average consumer in this Riverside zip code is married.</t>
  </si>
  <si>
    <t>19% of the population is between the ages of 15-24</t>
  </si>
  <si>
    <t>31% of the population is between the ages of 25-44</t>
  </si>
  <si>
    <t>12% of the population is between the ages of 45-54</t>
  </si>
  <si>
    <t>Comparable retailers are cheaper. -.50%</t>
  </si>
  <si>
    <t>STS Ratio</t>
  </si>
  <si>
    <t>ACT: 1.44</t>
  </si>
  <si>
    <t>3/4 Length Sleeve Blouses</t>
  </si>
  <si>
    <t>Cap Sleeve Blouses</t>
  </si>
  <si>
    <t>Sleeveless Blouses</t>
  </si>
  <si>
    <t>-approximately 37% of the population of the city of Riverside is white</t>
  </si>
  <si>
    <t>-approximately 48% of the population Is Hispanic or Latino</t>
  </si>
  <si>
    <t>long-sleeved peasant blouses</t>
  </si>
  <si>
    <t>Colors: light, fun colors, bright colors</t>
  </si>
  <si>
    <t>Sizes: XS-M, 2-6 (smaller sizes)</t>
  </si>
  <si>
    <t>Actual</t>
  </si>
  <si>
    <t>Average Monthly Sales</t>
  </si>
  <si>
    <t>AWS</t>
  </si>
  <si>
    <t>AWS- Future Sales</t>
  </si>
  <si>
    <t>PLN:</t>
  </si>
  <si>
    <t>ACT:</t>
  </si>
  <si>
    <t xml:space="preserve">Customer Profile.  Minimum 6 Segments.  Note: The Segments should align with the Dept. Analysis as well. </t>
  </si>
  <si>
    <t>Income: $50,000+:  56%</t>
  </si>
  <si>
    <t>Sizes: M-XL</t>
  </si>
  <si>
    <t>Income: $40,000+: 69.8%</t>
  </si>
  <si>
    <t xml:space="preserve">PLN: </t>
  </si>
  <si>
    <t>3.)EMPLOYEE DISCOUNT</t>
  </si>
  <si>
    <t>4.)SHORTAGE</t>
  </si>
  <si>
    <t>5.)TOTAL  RETAIL REDUCUCTIONS</t>
  </si>
  <si>
    <t>6.)BEGINNING STOCK</t>
  </si>
  <si>
    <t>Merchandise Mix Modifications</t>
  </si>
  <si>
    <t>Demographics for Riverside, CA (92503)</t>
  </si>
  <si>
    <t>Household Type</t>
  </si>
  <si>
    <t>Single Male: 31%</t>
  </si>
  <si>
    <t>Single Female: 24%</t>
  </si>
  <si>
    <t>Married: 45%</t>
  </si>
  <si>
    <t>Age</t>
  </si>
  <si>
    <t>0-5:</t>
  </si>
  <si>
    <t>5-9:</t>
  </si>
  <si>
    <t>10-14:</t>
  </si>
  <si>
    <t>15-19:</t>
  </si>
  <si>
    <t>20-24:</t>
  </si>
  <si>
    <t>25-34:</t>
  </si>
  <si>
    <t>35-44:</t>
  </si>
  <si>
    <t>45-54:</t>
  </si>
  <si>
    <t>55-59:</t>
  </si>
  <si>
    <t>60-64:</t>
  </si>
  <si>
    <t>65-74:</t>
  </si>
  <si>
    <t>Due to the ongoing recession, consumers are just now slowly beginning to buy more luxury items than previous. -.50%</t>
  </si>
  <si>
    <t>Increase in sales associates on sales floor. +1.0%</t>
  </si>
  <si>
    <t>9.)ENDING STOCK</t>
  </si>
  <si>
    <t>10.)TOTAL STOCK @COST</t>
  </si>
  <si>
    <t>11.)FREIGHT</t>
  </si>
  <si>
    <t>12.)TOTAL COST</t>
  </si>
  <si>
    <t>13.)ENDING STOCK @COST</t>
  </si>
  <si>
    <t>14.)WORKROOM</t>
  </si>
  <si>
    <t>15.)COST OF GOODS SOLD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</si>
</sst>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mmm"/>
    <numFmt numFmtId="168" formatCode="&quot;$&quot;#,##0.00"/>
    <numFmt numFmtId="169" formatCode="_(&quot;$&quot;* #,##0.0_);_(&quot;$&quot;* \(#,##0.0\);_(&quot;$&quot;* &quot;-&quot;?_);_(@_)"/>
    <numFmt numFmtId="170" formatCode="_(* #,##0.0_);_(* \(#,##0.0\);_(* &quot;-&quot;?_);_(@_)"/>
    <numFmt numFmtId="171" formatCode="&quot;$&quot;#,##0.0"/>
    <numFmt numFmtId="172" formatCode="_(&quot;$&quot;* #,##0.0_);_(&quot;$&quot;* \(#,##0.0\);_(&quot;$&quot;* &quot;-&quot;??_);_(@_)"/>
    <numFmt numFmtId="173" formatCode="0.00000000"/>
    <numFmt numFmtId="174" formatCode="0.0000000"/>
    <numFmt numFmtId="175" formatCode="0.000000"/>
    <numFmt numFmtId="176" formatCode="0.00000"/>
    <numFmt numFmtId="177" formatCode="0.0000"/>
    <numFmt numFmtId="178" formatCode="0.000"/>
    <numFmt numFmtId="179" formatCode="_(* #,##0.0_);_(* \(#,##0.0\);_(* &quot;-&quot;??_);_(@_)"/>
    <numFmt numFmtId="180" formatCode="_(&quot;$&quot;* #,##0.000_);_(&quot;$&quot;* \(#,##0.000\);_(&quot;$&quot;* &quot;-&quot;??_);_(@_)"/>
    <numFmt numFmtId="181" formatCode="_(&quot;$&quot;* #,##0_);_(&quot;$&quot;* \(#,##0\);_(&quot;$&quot;* &quot;-&quot;??_);_(@_)"/>
    <numFmt numFmtId="182" formatCode="&quot;$&quot;#,##0.0_);[Red]\(&quot;$&quot;#,##0.0\)"/>
    <numFmt numFmtId="183" formatCode="#,##0.0_);[Red]\(#,##0.0\)"/>
    <numFmt numFmtId="184" formatCode="&quot;$&quot;#,##0.000"/>
  </numFmts>
  <fonts count="41">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sz val="16"/>
      <name val="Arial"/>
      <family val="2"/>
    </font>
    <font>
      <sz val="14"/>
      <name val="Arial"/>
      <family val="2"/>
    </font>
    <font>
      <b/>
      <sz val="9"/>
      <name val="Arial"/>
      <family val="2"/>
    </font>
    <font>
      <b/>
      <sz val="12"/>
      <color indexed="63"/>
      <name val="Arial"/>
      <family val="2"/>
    </font>
    <font>
      <b/>
      <i/>
      <u val="single"/>
      <sz val="12"/>
      <name val="Arial"/>
      <family val="2"/>
    </font>
    <font>
      <b/>
      <i/>
      <sz val="12"/>
      <name val="Arial"/>
      <family val="2"/>
    </font>
    <font>
      <sz val="9"/>
      <name val="Arial"/>
      <family val="0"/>
    </font>
    <font>
      <sz val="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sz val="12"/>
      <name val="Times New Roman"/>
      <family val="0"/>
    </font>
    <font>
      <u val="single"/>
      <sz val="12"/>
      <name val="Times New Roman"/>
      <family val="0"/>
    </font>
    <font>
      <sz val="12"/>
      <color indexed="8"/>
      <name val="Symbol"/>
      <family val="0"/>
    </font>
    <font>
      <sz val="12"/>
      <color indexed="8"/>
      <name val="Calibri"/>
      <family val="0"/>
    </font>
    <font>
      <sz val="11.5"/>
      <color indexed="8"/>
      <name val="Calibri"/>
      <family val="0"/>
    </font>
    <font>
      <u val="single"/>
      <sz val="10"/>
      <color indexed="12"/>
      <name val="Arial"/>
      <family val="0"/>
    </font>
    <font>
      <u val="single"/>
      <sz val="10"/>
      <color indexed="61"/>
      <name val="Arial"/>
      <family val="0"/>
    </font>
    <font>
      <sz val="11"/>
      <name val="Arial"/>
      <family val="0"/>
    </font>
    <font>
      <b/>
      <sz val="11"/>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47">
    <xf numFmtId="0" fontId="0" fillId="0" borderId="0" xfId="0" applyAlignment="1">
      <alignment/>
    </xf>
    <xf numFmtId="0" fontId="6" fillId="0" borderId="0" xfId="0" applyNumberFormat="1" applyFont="1" applyFill="1" applyBorder="1" applyAlignment="1" applyProtection="1">
      <alignment horizontal="left" vertical="center"/>
      <protection/>
    </xf>
    <xf numFmtId="0" fontId="7" fillId="0" borderId="0" xfId="0" applyFont="1" applyAlignment="1">
      <alignment/>
    </xf>
    <xf numFmtId="0" fontId="0" fillId="0" borderId="0" xfId="0" applyFont="1" applyAlignment="1">
      <alignment/>
    </xf>
    <xf numFmtId="0" fontId="8" fillId="0" borderId="0" xfId="0" applyNumberFormat="1" applyFont="1" applyFill="1" applyBorder="1" applyAlignment="1" applyProtection="1">
      <alignment/>
      <protection/>
    </xf>
    <xf numFmtId="0" fontId="5" fillId="0" borderId="0" xfId="0" applyFont="1" applyAlignment="1">
      <alignment/>
    </xf>
    <xf numFmtId="0" fontId="1" fillId="0" borderId="0" xfId="0" applyFont="1" applyAlignment="1">
      <alignment/>
    </xf>
    <xf numFmtId="0" fontId="9" fillId="0" borderId="10" xfId="0"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xf>
    <xf numFmtId="0" fontId="0" fillId="0" borderId="0" xfId="0" applyFont="1" applyBorder="1" applyAlignment="1">
      <alignment/>
    </xf>
    <xf numFmtId="0" fontId="1" fillId="0" borderId="13" xfId="0" applyFont="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xf>
    <xf numFmtId="0" fontId="0" fillId="0" borderId="0" xfId="0" applyFont="1" applyBorder="1" applyAlignment="1">
      <alignment horizontal="center"/>
    </xf>
    <xf numFmtId="165" fontId="0" fillId="0" borderId="14" xfId="59" applyNumberFormat="1" applyFont="1" applyBorder="1" applyAlignment="1">
      <alignment horizontal="center"/>
    </xf>
    <xf numFmtId="172" fontId="0" fillId="20" borderId="15" xfId="44" applyNumberFormat="1" applyFont="1" applyFill="1" applyBorder="1" applyAlignment="1">
      <alignment horizontal="center"/>
    </xf>
    <xf numFmtId="165" fontId="1" fillId="20" borderId="16" xfId="59" applyNumberFormat="1" applyFont="1" applyFill="1" applyBorder="1" applyAlignment="1">
      <alignment horizontal="center"/>
    </xf>
    <xf numFmtId="0" fontId="0" fillId="0" borderId="17" xfId="0" applyFont="1" applyBorder="1" applyAlignment="1">
      <alignment/>
    </xf>
    <xf numFmtId="0" fontId="0" fillId="0" borderId="18" xfId="0" applyFont="1" applyBorder="1" applyAlignment="1">
      <alignment horizontal="center"/>
    </xf>
    <xf numFmtId="172" fontId="0" fillId="20" borderId="19" xfId="44" applyNumberFormat="1" applyFont="1" applyFill="1" applyBorder="1" applyAlignment="1">
      <alignment horizontal="center"/>
    </xf>
    <xf numFmtId="165" fontId="0" fillId="20" borderId="20" xfId="59" applyNumberFormat="1" applyFont="1" applyFill="1" applyBorder="1" applyAlignment="1">
      <alignment horizontal="center"/>
    </xf>
    <xf numFmtId="172" fontId="0" fillId="0" borderId="0" xfId="44" applyNumberFormat="1" applyFont="1" applyBorder="1" applyAlignment="1">
      <alignment horizontal="center"/>
    </xf>
    <xf numFmtId="165" fontId="0" fillId="0" borderId="0" xfId="59" applyNumberFormat="1" applyFont="1" applyBorder="1" applyAlignment="1">
      <alignment horizontal="center"/>
    </xf>
    <xf numFmtId="0" fontId="0" fillId="0" borderId="10" xfId="0" applyFont="1" applyBorder="1" applyAlignment="1">
      <alignment/>
    </xf>
    <xf numFmtId="0" fontId="1" fillId="0" borderId="12" xfId="0" applyFont="1" applyFill="1" applyBorder="1" applyAlignment="1">
      <alignment/>
    </xf>
    <xf numFmtId="165" fontId="1" fillId="20" borderId="15" xfId="59" applyNumberFormat="1" applyFont="1" applyFill="1" applyBorder="1" applyAlignment="1">
      <alignment horizontal="center"/>
    </xf>
    <xf numFmtId="165" fontId="0" fillId="20" borderId="16" xfId="0" applyNumberFormat="1" applyFont="1" applyFill="1" applyBorder="1" applyAlignment="1">
      <alignment/>
    </xf>
    <xf numFmtId="172" fontId="0" fillId="20" borderId="15" xfId="0" applyNumberFormat="1" applyFont="1" applyFill="1" applyBorder="1" applyAlignment="1">
      <alignment horizontal="center"/>
    </xf>
    <xf numFmtId="165" fontId="0" fillId="20" borderId="15" xfId="59" applyNumberFormat="1" applyFont="1" applyFill="1" applyBorder="1" applyAlignment="1">
      <alignment horizontal="center"/>
    </xf>
    <xf numFmtId="165" fontId="0" fillId="20" borderId="19" xfId="0" applyNumberFormat="1" applyFont="1" applyFill="1" applyBorder="1" applyAlignment="1">
      <alignment horizontal="center"/>
    </xf>
    <xf numFmtId="165" fontId="0" fillId="20" borderId="20" xfId="0" applyNumberFormat="1" applyFont="1" applyFill="1" applyBorder="1" applyAlignment="1">
      <alignment/>
    </xf>
    <xf numFmtId="172" fontId="0" fillId="0" borderId="0" xfId="44" applyNumberFormat="1" applyFon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ont="1" applyFill="1" applyBorder="1" applyAlignment="1">
      <alignment/>
    </xf>
    <xf numFmtId="172" fontId="0" fillId="0" borderId="11" xfId="44" applyNumberFormat="1" applyFont="1" applyFill="1" applyBorder="1" applyAlignment="1">
      <alignment horizontal="center"/>
    </xf>
    <xf numFmtId="165" fontId="0" fillId="20" borderId="16" xfId="59" applyNumberFormat="1" applyFont="1" applyFill="1" applyBorder="1" applyAlignment="1">
      <alignment horizontal="center"/>
    </xf>
    <xf numFmtId="0" fontId="0" fillId="0" borderId="13" xfId="0" applyFont="1" applyFill="1" applyBorder="1" applyAlignment="1">
      <alignment/>
    </xf>
    <xf numFmtId="0" fontId="0" fillId="0" borderId="0" xfId="0" applyFont="1" applyFill="1" applyBorder="1" applyAlignment="1">
      <alignment horizontal="center"/>
    </xf>
    <xf numFmtId="165" fontId="0" fillId="0" borderId="0" xfId="59" applyNumberFormat="1" applyFont="1" applyFill="1" applyBorder="1" applyAlignment="1">
      <alignment horizontal="center"/>
    </xf>
    <xf numFmtId="0" fontId="0" fillId="0" borderId="10" xfId="0" applyFont="1" applyFill="1" applyBorder="1" applyAlignment="1">
      <alignment/>
    </xf>
    <xf numFmtId="0" fontId="0" fillId="0" borderId="11" xfId="0" applyFont="1" applyFill="1" applyBorder="1" applyAlignment="1">
      <alignment horizontal="center"/>
    </xf>
    <xf numFmtId="172" fontId="1" fillId="0" borderId="0" xfId="44" applyNumberFormat="1" applyFont="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1" fillId="0" borderId="21" xfId="0" applyFont="1" applyBorder="1" applyAlignment="1">
      <alignment/>
    </xf>
    <xf numFmtId="172" fontId="1" fillId="20" borderId="22" xfId="44" applyNumberFormat="1" applyFont="1" applyFill="1" applyBorder="1" applyAlignment="1">
      <alignment horizontal="center"/>
    </xf>
    <xf numFmtId="0" fontId="1" fillId="0" borderId="23" xfId="0" applyFont="1" applyBorder="1" applyAlignment="1">
      <alignment horizontal="center"/>
    </xf>
    <xf numFmtId="165" fontId="1" fillId="20" borderId="24" xfId="59" applyNumberFormat="1" applyFont="1" applyFill="1" applyBorder="1" applyAlignment="1">
      <alignment horizontal="center"/>
    </xf>
    <xf numFmtId="0" fontId="7" fillId="0" borderId="0" xfId="0" applyFont="1" applyAlignment="1">
      <alignment/>
    </xf>
    <xf numFmtId="0" fontId="5" fillId="0" borderId="0" xfId="0" applyFont="1" applyBorder="1" applyAlignment="1">
      <alignment/>
    </xf>
    <xf numFmtId="172" fontId="1" fillId="24" borderId="15" xfId="44" applyNumberFormat="1" applyFont="1" applyFill="1" applyBorder="1" applyAlignment="1">
      <alignment horizontal="center"/>
    </xf>
    <xf numFmtId="0" fontId="10"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0" fontId="7" fillId="0" borderId="0" xfId="0" applyFont="1" applyAlignment="1">
      <alignment/>
    </xf>
    <xf numFmtId="0" fontId="13" fillId="0" borderId="15" xfId="0" applyFont="1" applyBorder="1" applyAlignment="1">
      <alignment/>
    </xf>
    <xf numFmtId="0" fontId="12" fillId="0" borderId="15" xfId="0" applyFont="1" applyBorder="1" applyAlignment="1">
      <alignment/>
    </xf>
    <xf numFmtId="165" fontId="13" fillId="0" borderId="15" xfId="0" applyNumberFormat="1" applyFont="1" applyBorder="1" applyAlignment="1">
      <alignment/>
    </xf>
    <xf numFmtId="0" fontId="13" fillId="0" borderId="0" xfId="0" applyFont="1" applyBorder="1" applyAlignment="1">
      <alignment/>
    </xf>
    <xf numFmtId="165" fontId="13" fillId="0" borderId="0" xfId="0" applyNumberFormat="1" applyFont="1" applyBorder="1" applyAlignment="1">
      <alignment/>
    </xf>
    <xf numFmtId="0" fontId="13" fillId="0" borderId="15"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27" xfId="0" applyFont="1" applyBorder="1" applyAlignment="1">
      <alignment/>
    </xf>
    <xf numFmtId="0" fontId="0" fillId="0" borderId="28" xfId="0" applyBorder="1" applyAlignment="1">
      <alignment/>
    </xf>
    <xf numFmtId="0" fontId="0" fillId="0" borderId="27" xfId="0" applyBorder="1" applyAlignment="1">
      <alignment/>
    </xf>
    <xf numFmtId="8" fontId="0" fillId="0" borderId="15" xfId="0" applyNumberFormat="1" applyBorder="1" applyAlignment="1">
      <alignment/>
    </xf>
    <xf numFmtId="0" fontId="0" fillId="0" borderId="15" xfId="0" applyBorder="1" applyAlignment="1">
      <alignment/>
    </xf>
    <xf numFmtId="0" fontId="0" fillId="0" borderId="15" xfId="0" applyFont="1" applyBorder="1" applyAlignment="1">
      <alignment/>
    </xf>
    <xf numFmtId="165" fontId="2" fillId="0" borderId="15" xfId="0" applyNumberFormat="1" applyFont="1" applyBorder="1" applyAlignment="1">
      <alignment/>
    </xf>
    <xf numFmtId="0" fontId="7" fillId="0" borderId="29" xfId="0" applyFont="1" applyBorder="1" applyAlignment="1">
      <alignment/>
    </xf>
    <xf numFmtId="0" fontId="0" fillId="0" borderId="29" xfId="0" applyBorder="1" applyAlignment="1">
      <alignment/>
    </xf>
    <xf numFmtId="0" fontId="7" fillId="0" borderId="29" xfId="0" applyFont="1" applyBorder="1" applyAlignment="1">
      <alignment/>
    </xf>
    <xf numFmtId="6" fontId="0" fillId="0" borderId="0" xfId="0" applyNumberFormat="1" applyAlignment="1">
      <alignment/>
    </xf>
    <xf numFmtId="9" fontId="0" fillId="0" borderId="0" xfId="0" applyNumberFormat="1" applyAlignment="1">
      <alignment/>
    </xf>
    <xf numFmtId="0" fontId="0" fillId="0" borderId="15" xfId="0" applyBorder="1" applyAlignment="1">
      <alignment horizontal="left"/>
    </xf>
    <xf numFmtId="9" fontId="0" fillId="0" borderId="15" xfId="0" applyNumberFormat="1" applyBorder="1" applyAlignment="1">
      <alignment horizontal="left"/>
    </xf>
    <xf numFmtId="0" fontId="0" fillId="0" borderId="0" xfId="0" applyBorder="1" applyAlignment="1">
      <alignment horizontal="left"/>
    </xf>
    <xf numFmtId="9" fontId="0" fillId="0" borderId="0" xfId="0" applyNumberFormat="1" applyBorder="1" applyAlignment="1">
      <alignment horizontal="left"/>
    </xf>
    <xf numFmtId="0" fontId="0" fillId="0" borderId="15" xfId="0" applyFill="1" applyBorder="1" applyAlignment="1">
      <alignment horizontal="left"/>
    </xf>
    <xf numFmtId="9" fontId="0" fillId="0" borderId="15" xfId="0" applyNumberFormat="1" applyFill="1" applyBorder="1" applyAlignment="1">
      <alignment horizontal="left"/>
    </xf>
    <xf numFmtId="9" fontId="0" fillId="0" borderId="0" xfId="0" applyNumberFormat="1" applyFill="1" applyBorder="1" applyAlignment="1">
      <alignment horizontal="left"/>
    </xf>
    <xf numFmtId="0" fontId="32" fillId="0" borderId="0" xfId="0" applyFont="1" applyAlignment="1">
      <alignment/>
    </xf>
    <xf numFmtId="0" fontId="33" fillId="0" borderId="0" xfId="0" applyFont="1" applyAlignment="1">
      <alignment/>
    </xf>
    <xf numFmtId="9" fontId="32" fillId="0" borderId="0" xfId="0" applyNumberFormat="1"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10" fontId="0" fillId="0" borderId="0" xfId="0" applyNumberFormat="1" applyAlignment="1">
      <alignment/>
    </xf>
    <xf numFmtId="0" fontId="39" fillId="0" borderId="0" xfId="0" applyFont="1" applyAlignment="1">
      <alignment/>
    </xf>
    <xf numFmtId="0" fontId="39" fillId="0" borderId="0" xfId="0" applyFont="1" applyAlignment="1">
      <alignment horizontal="left" vertical="center"/>
    </xf>
    <xf numFmtId="0" fontId="40" fillId="0" borderId="0" xfId="0" applyFont="1" applyAlignment="1">
      <alignment horizontal="left" vertical="center"/>
    </xf>
    <xf numFmtId="0" fontId="39" fillId="0" borderId="0" xfId="0" applyFont="1" applyAlignment="1">
      <alignment horizontal="left"/>
    </xf>
    <xf numFmtId="8" fontId="39" fillId="0" borderId="0" xfId="0" applyNumberFormat="1" applyFont="1" applyAlignment="1">
      <alignment horizontal="left"/>
    </xf>
    <xf numFmtId="10" fontId="39" fillId="0" borderId="0" xfId="0" applyNumberFormat="1" applyFont="1" applyAlignment="1">
      <alignment horizontal="left"/>
    </xf>
    <xf numFmtId="0" fontId="39" fillId="0" borderId="30" xfId="0" applyFont="1" applyBorder="1" applyAlignment="1">
      <alignment/>
    </xf>
    <xf numFmtId="0" fontId="40" fillId="0" borderId="30" xfId="0" applyFont="1" applyBorder="1" applyAlignment="1">
      <alignment horizontal="left" vertical="center"/>
    </xf>
    <xf numFmtId="0" fontId="39" fillId="0" borderId="30" xfId="0" applyFont="1" applyBorder="1" applyAlignment="1">
      <alignment horizontal="left"/>
    </xf>
    <xf numFmtId="10" fontId="39" fillId="0" borderId="30" xfId="0" applyNumberFormat="1" applyFont="1" applyBorder="1" applyAlignment="1">
      <alignment horizontal="left"/>
    </xf>
    <xf numFmtId="10" fontId="39" fillId="0" borderId="30" xfId="0" applyNumberFormat="1" applyFont="1" applyBorder="1" applyAlignment="1">
      <alignment/>
    </xf>
    <xf numFmtId="0" fontId="0" fillId="0" borderId="30" xfId="0" applyBorder="1" applyAlignment="1">
      <alignment/>
    </xf>
    <xf numFmtId="0" fontId="8" fillId="0" borderId="30" xfId="0" applyNumberFormat="1" applyFont="1" applyFill="1" applyBorder="1" applyAlignment="1" applyProtection="1">
      <alignment/>
      <protection/>
    </xf>
    <xf numFmtId="8" fontId="39" fillId="0" borderId="0" xfId="0" applyNumberFormat="1" applyFont="1" applyAlignment="1">
      <alignment/>
    </xf>
    <xf numFmtId="0" fontId="39" fillId="0" borderId="0" xfId="0" applyNumberFormat="1" applyFont="1" applyAlignment="1">
      <alignment horizontal="left"/>
    </xf>
    <xf numFmtId="165" fontId="39" fillId="0" borderId="0" xfId="0" applyNumberFormat="1" applyFont="1" applyAlignment="1">
      <alignment horizontal="left"/>
    </xf>
    <xf numFmtId="165" fontId="39" fillId="0" borderId="0" xfId="0" applyNumberFormat="1" applyFont="1" applyAlignment="1">
      <alignment/>
    </xf>
    <xf numFmtId="166" fontId="39" fillId="0" borderId="0" xfId="0" applyNumberFormat="1" applyFont="1" applyAlignment="1">
      <alignment/>
    </xf>
    <xf numFmtId="166" fontId="0" fillId="0" borderId="0" xfId="0" applyNumberFormat="1" applyAlignment="1">
      <alignment/>
    </xf>
    <xf numFmtId="166" fontId="8" fillId="0" borderId="0" xfId="0" applyNumberFormat="1" applyFont="1" applyFill="1" applyBorder="1" applyAlignment="1" applyProtection="1">
      <alignment/>
      <protection/>
    </xf>
    <xf numFmtId="166" fontId="39" fillId="0" borderId="30" xfId="0" applyNumberFormat="1" applyFont="1" applyBorder="1" applyAlignment="1">
      <alignment/>
    </xf>
    <xf numFmtId="166" fontId="7" fillId="0" borderId="0" xfId="0" applyNumberFormat="1" applyFont="1" applyAlignment="1">
      <alignment/>
    </xf>
    <xf numFmtId="171" fontId="39" fillId="0" borderId="0" xfId="0" applyNumberFormat="1" applyFont="1" applyAlignment="1">
      <alignment/>
    </xf>
    <xf numFmtId="171" fontId="39" fillId="0" borderId="30"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171" fontId="8" fillId="0" borderId="0" xfId="0" applyNumberFormat="1" applyFont="1" applyFill="1" applyBorder="1" applyAlignment="1" applyProtection="1">
      <alignment/>
      <protection/>
    </xf>
    <xf numFmtId="171" fontId="39" fillId="0" borderId="0" xfId="0" applyNumberFormat="1" applyFont="1" applyAlignment="1">
      <alignment horizontal="left"/>
    </xf>
    <xf numFmtId="171" fontId="39" fillId="0" borderId="30" xfId="0" applyNumberFormat="1" applyFont="1" applyBorder="1" applyAlignment="1">
      <alignment horizontal="left"/>
    </xf>
    <xf numFmtId="171" fontId="6" fillId="0" borderId="0" xfId="0" applyNumberFormat="1" applyFont="1" applyFill="1" applyBorder="1" applyAlignment="1" applyProtection="1">
      <alignment horizontal="left" vertical="center"/>
      <protection/>
    </xf>
    <xf numFmtId="0" fontId="0" fillId="20" borderId="0" xfId="0" applyFont="1" applyFill="1" applyAlignment="1">
      <alignment/>
    </xf>
    <xf numFmtId="9" fontId="0" fillId="20" borderId="0" xfId="0" applyNumberFormat="1" applyFont="1" applyFill="1" applyAlignment="1">
      <alignment/>
    </xf>
    <xf numFmtId="6" fontId="0" fillId="20" borderId="0" xfId="0" applyNumberFormat="1" applyFont="1" applyFill="1" applyAlignment="1">
      <alignment/>
    </xf>
    <xf numFmtId="0" fontId="0" fillId="20" borderId="0" xfId="0" applyFill="1" applyAlignment="1">
      <alignment/>
    </xf>
    <xf numFmtId="171" fontId="0" fillId="0" borderId="0" xfId="0" applyNumberFormat="1" applyFont="1" applyAlignment="1">
      <alignment/>
    </xf>
    <xf numFmtId="38" fontId="0" fillId="0" borderId="0" xfId="0" applyNumberFormat="1" applyFont="1" applyAlignment="1">
      <alignment/>
    </xf>
    <xf numFmtId="171" fontId="0" fillId="20" borderId="15" xfId="0" applyNumberFormat="1" applyFont="1" applyFill="1" applyBorder="1" applyAlignment="1">
      <alignment horizontal="center"/>
    </xf>
    <xf numFmtId="0" fontId="39" fillId="0" borderId="30" xfId="0" applyNumberFormat="1" applyFont="1" applyBorder="1" applyAlignment="1">
      <alignment/>
    </xf>
    <xf numFmtId="2" fontId="0" fillId="0" borderId="0" xfId="0" applyNumberFormat="1" applyAlignment="1">
      <alignment/>
    </xf>
    <xf numFmtId="168" fontId="0" fillId="0" borderId="0" xfId="0" applyNumberFormat="1" applyAlignment="1">
      <alignment/>
    </xf>
    <xf numFmtId="184" fontId="0" fillId="0" borderId="0" xfId="0" applyNumberFormat="1" applyAlignment="1">
      <alignment/>
    </xf>
    <xf numFmtId="168" fontId="39" fillId="0" borderId="30" xfId="0" applyNumberFormat="1" applyFont="1" applyBorder="1" applyAlignment="1">
      <alignment horizontal="left"/>
    </xf>
    <xf numFmtId="2" fontId="39" fillId="0" borderId="30" xfId="0" applyNumberFormat="1" applyFont="1" applyBorder="1" applyAlignment="1">
      <alignment horizontal="left"/>
    </xf>
    <xf numFmtId="4" fontId="39" fillId="0" borderId="30" xfId="0" applyNumberFormat="1" applyFont="1" applyBorder="1" applyAlignment="1">
      <alignment/>
    </xf>
    <xf numFmtId="8" fontId="0" fillId="0" borderId="0" xfId="0" applyNumberFormat="1" applyAlignment="1">
      <alignment/>
    </xf>
    <xf numFmtId="4" fontId="0" fillId="0" borderId="0" xfId="0" applyNumberFormat="1" applyAlignment="1">
      <alignment/>
    </xf>
    <xf numFmtId="2" fontId="39" fillId="0" borderId="0" xfId="0" applyNumberFormat="1" applyFont="1" applyAlignment="1">
      <alignment/>
    </xf>
    <xf numFmtId="40" fontId="39" fillId="0" borderId="0" xfId="0" applyNumberFormat="1" applyFont="1" applyAlignment="1">
      <alignment horizontal="left"/>
    </xf>
    <xf numFmtId="40" fontId="0" fillId="0" borderId="0" xfId="0" applyNumberFormat="1" applyAlignment="1">
      <alignment/>
    </xf>
    <xf numFmtId="40" fontId="39" fillId="0" borderId="30" xfId="0" applyNumberFormat="1" applyFont="1" applyBorder="1" applyAlignment="1">
      <alignment horizontal="left"/>
    </xf>
    <xf numFmtId="40" fontId="39" fillId="0" borderId="0" xfId="0" applyNumberFormat="1" applyFont="1" applyAlignment="1">
      <alignment/>
    </xf>
    <xf numFmtId="40" fontId="39" fillId="0" borderId="30" xfId="0" applyNumberFormat="1" applyFont="1" applyBorder="1" applyAlignment="1">
      <alignment/>
    </xf>
    <xf numFmtId="0" fontId="0" fillId="0" borderId="0" xfId="0" applyAlignment="1">
      <alignment horizontal="left"/>
    </xf>
    <xf numFmtId="0" fontId="5" fillId="0" borderId="3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0" fillId="0" borderId="2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142875</xdr:rowOff>
    </xdr:from>
    <xdr:to>
      <xdr:col>5</xdr:col>
      <xdr:colOff>0</xdr:colOff>
      <xdr:row>76</xdr:row>
      <xdr:rowOff>66675</xdr:rowOff>
    </xdr:to>
    <xdr:sp>
      <xdr:nvSpPr>
        <xdr:cNvPr id="1" name="TextBox 1"/>
        <xdr:cNvSpPr txBox="1">
          <a:spLocks noChangeArrowheads="1"/>
        </xdr:cNvSpPr>
      </xdr:nvSpPr>
      <xdr:spPr>
        <a:xfrm>
          <a:off x="28575" y="13201650"/>
          <a:ext cx="4724400" cy="1143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Based on the demographics listed above, the typical consumer in this Riverside area is in their mid-twenties to early fifties (approximately 48% of the population), with a bulk of this percentage likely married with a small family. The population of this Riverside area likely makes around $50,000 a year. This portion of the population consists of young families who enjoy spending time together, whether it be taking in a movie at the local cinema or  taking part in family sports events.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9</xdr:col>
      <xdr:colOff>57150</xdr:colOff>
      <xdr:row>14</xdr:row>
      <xdr:rowOff>28575</xdr:rowOff>
    </xdr:to>
    <xdr:sp>
      <xdr:nvSpPr>
        <xdr:cNvPr id="1" name="TextBox 1"/>
        <xdr:cNvSpPr txBox="1">
          <a:spLocks noChangeArrowheads="1"/>
        </xdr:cNvSpPr>
      </xdr:nvSpPr>
      <xdr:spPr>
        <a:xfrm>
          <a:off x="38100" y="1371600"/>
          <a:ext cx="5505450" cy="1352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Long-sleeve blouses are purchased the most by segment 3. This is likely because those in this age range tend to be less fashion-conscious and because of the average age of the consumer within this segment. Because this segment does not make up the largest portion of our market, I would make 30% of the stock in classic, muted colors in slightly larger sizes and keep prices below $120. Because segment 2 also consumes this product, I would make the remaining 70% of vibrant fashion colors and prints, with slightly smaller prices and priced at or below $130. </a:t>
          </a:r>
        </a:p>
      </xdr:txBody>
    </xdr:sp>
    <xdr:clientData/>
  </xdr:twoCellAnchor>
  <xdr:twoCellAnchor>
    <xdr:from>
      <xdr:col>0</xdr:col>
      <xdr:colOff>38100</xdr:colOff>
      <xdr:row>15</xdr:row>
      <xdr:rowOff>9525</xdr:rowOff>
    </xdr:from>
    <xdr:to>
      <xdr:col>10</xdr:col>
      <xdr:colOff>76200</xdr:colOff>
      <xdr:row>23</xdr:row>
      <xdr:rowOff>0</xdr:rowOff>
    </xdr:to>
    <xdr:sp>
      <xdr:nvSpPr>
        <xdr:cNvPr id="2" name="TextBox 2"/>
        <xdr:cNvSpPr txBox="1">
          <a:spLocks noChangeArrowheads="1"/>
        </xdr:cNvSpPr>
      </xdr:nvSpPr>
      <xdr:spPr>
        <a:xfrm>
          <a:off x="38100" y="2895600"/>
          <a:ext cx="6134100" cy="1514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3/4 length sleeve blouses are purchased the most by segment 3. This is likely because those in this age range tend to be less fashion-conscious and because of the average age of the consumer within this segment. Because this segment does not make up the largest portion of our market, I would make 60% of the stock in classic, muted colors in slightly larger sizes and keep prices below $115. Because segment 2 also consumes this product, I would make the remaining 40% of vibrant fashion colors and prints, with slightly smaller prices and priced betwen $110-$130. </a:t>
          </a:r>
        </a:p>
      </xdr:txBody>
    </xdr:sp>
    <xdr:clientData/>
  </xdr:twoCellAnchor>
  <xdr:twoCellAnchor>
    <xdr:from>
      <xdr:col>0</xdr:col>
      <xdr:colOff>38100</xdr:colOff>
      <xdr:row>24</xdr:row>
      <xdr:rowOff>9525</xdr:rowOff>
    </xdr:from>
    <xdr:to>
      <xdr:col>10</xdr:col>
      <xdr:colOff>409575</xdr:colOff>
      <xdr:row>30</xdr:row>
      <xdr:rowOff>0</xdr:rowOff>
    </xdr:to>
    <xdr:sp>
      <xdr:nvSpPr>
        <xdr:cNvPr id="3" name="TextBox 3"/>
        <xdr:cNvSpPr txBox="1">
          <a:spLocks noChangeArrowheads="1"/>
        </xdr:cNvSpPr>
      </xdr:nvSpPr>
      <xdr:spPr>
        <a:xfrm>
          <a:off x="38100" y="4610100"/>
          <a:ext cx="6467475" cy="1133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Capsleeve blouses are purchased the most by segments 1 &amp; 2. This is likely because those in this age range are looking for more fashion forward finds and edgy cuts in their clothing style. Because these segments make up the largest portion of our market, I would make all 100% of the stock in  vibrant fashion colors and prints, with slightly smaller prices and priced between $165-$190. </a:t>
          </a:r>
        </a:p>
      </xdr:txBody>
    </xdr:sp>
    <xdr:clientData/>
  </xdr:twoCellAnchor>
  <xdr:twoCellAnchor>
    <xdr:from>
      <xdr:col>0</xdr:col>
      <xdr:colOff>38100</xdr:colOff>
      <xdr:row>32</xdr:row>
      <xdr:rowOff>9525</xdr:rowOff>
    </xdr:from>
    <xdr:to>
      <xdr:col>10</xdr:col>
      <xdr:colOff>219075</xdr:colOff>
      <xdr:row>38</xdr:row>
      <xdr:rowOff>47625</xdr:rowOff>
    </xdr:to>
    <xdr:sp>
      <xdr:nvSpPr>
        <xdr:cNvPr id="4" name="TextBox 4"/>
        <xdr:cNvSpPr txBox="1">
          <a:spLocks noChangeArrowheads="1"/>
        </xdr:cNvSpPr>
      </xdr:nvSpPr>
      <xdr:spPr>
        <a:xfrm>
          <a:off x="38100" y="6134100"/>
          <a:ext cx="6276975" cy="1181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Sleevless blouses are purchased the most by segments 1 &amp; 2. This is likely because those in this age range are looking for more fashion forward finds and edgy cuts in their clothing style. This could also be because women within this age range tend to have more positive perceptions of their body. Because these segments make up the largest portion of our market, I would make all 100% of the stock in  vibrant fashion colors and prints, with slightly smaller prices and priced between $150-$165.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zoomScale="125" zoomScaleNormal="125" zoomScalePageLayoutView="0" workbookViewId="0" topLeftCell="A1">
      <selection activeCell="N33" sqref="N33"/>
    </sheetView>
  </sheetViews>
  <sheetFormatPr defaultColWidth="11.421875" defaultRowHeight="12.75"/>
  <cols>
    <col min="1" max="1" width="10.00390625" style="0" customWidth="1"/>
    <col min="2" max="16384" width="8.8515625" style="0" customWidth="1"/>
  </cols>
  <sheetData>
    <row r="1" s="2" customFormat="1" ht="16.5">
      <c r="A1" s="52" t="s">
        <v>216</v>
      </c>
    </row>
    <row r="2" spans="1:13" ht="16.5">
      <c r="A2" s="72" t="s">
        <v>217</v>
      </c>
      <c r="B2" s="73"/>
      <c r="C2" s="73"/>
      <c r="D2" s="73"/>
      <c r="E2" s="73"/>
      <c r="F2" s="73"/>
      <c r="G2" s="73"/>
      <c r="H2" s="73"/>
      <c r="I2" s="73"/>
      <c r="J2" s="73"/>
      <c r="K2" s="73"/>
      <c r="L2" s="73"/>
      <c r="M2" s="73"/>
    </row>
    <row r="3" ht="12">
      <c r="B3" t="s">
        <v>180</v>
      </c>
    </row>
    <row r="4" ht="12">
      <c r="B4" t="s">
        <v>179</v>
      </c>
    </row>
    <row r="5" spans="2:4" ht="12">
      <c r="B5" s="6" t="s">
        <v>64</v>
      </c>
      <c r="C5" s="3" t="s">
        <v>69</v>
      </c>
      <c r="D5" s="6"/>
    </row>
    <row r="6" ht="12">
      <c r="C6" t="s">
        <v>68</v>
      </c>
    </row>
    <row r="7" ht="12">
      <c r="C7" t="s">
        <v>66</v>
      </c>
    </row>
    <row r="8" ht="12">
      <c r="C8" t="s">
        <v>67</v>
      </c>
    </row>
    <row r="9" ht="12">
      <c r="C9" t="s">
        <v>65</v>
      </c>
    </row>
    <row r="10" ht="12">
      <c r="B10" s="3" t="s">
        <v>35</v>
      </c>
    </row>
    <row r="11" ht="12">
      <c r="B11" t="s">
        <v>36</v>
      </c>
    </row>
    <row r="12" spans="2:4" ht="12">
      <c r="B12" s="6" t="s">
        <v>64</v>
      </c>
      <c r="C12" s="6" t="s">
        <v>70</v>
      </c>
      <c r="D12" s="6"/>
    </row>
    <row r="13" spans="3:9" ht="12">
      <c r="C13" s="63" t="s">
        <v>127</v>
      </c>
      <c r="D13" s="64"/>
      <c r="E13" s="68">
        <v>18</v>
      </c>
      <c r="F13" s="68">
        <v>20</v>
      </c>
      <c r="G13" s="68">
        <v>24</v>
      </c>
      <c r="H13" s="68">
        <v>30</v>
      </c>
      <c r="I13" s="69" t="s">
        <v>169</v>
      </c>
    </row>
    <row r="14" spans="3:9" ht="12">
      <c r="C14" s="65"/>
      <c r="D14" s="66"/>
      <c r="E14" s="71">
        <v>0.25</v>
      </c>
      <c r="F14" s="71">
        <v>0.3</v>
      </c>
      <c r="G14" s="71">
        <v>0.35</v>
      </c>
      <c r="H14" s="71">
        <v>0.1</v>
      </c>
      <c r="I14" s="71">
        <v>1</v>
      </c>
    </row>
    <row r="15" spans="3:9" ht="12">
      <c r="C15" s="63" t="s">
        <v>170</v>
      </c>
      <c r="D15" s="64"/>
      <c r="E15" s="69" t="s">
        <v>171</v>
      </c>
      <c r="F15" s="69" t="s">
        <v>172</v>
      </c>
      <c r="G15" s="69" t="s">
        <v>173</v>
      </c>
      <c r="H15" s="69" t="s">
        <v>174</v>
      </c>
      <c r="I15" s="69" t="s">
        <v>169</v>
      </c>
    </row>
    <row r="16" spans="3:9" ht="12">
      <c r="C16" s="65"/>
      <c r="D16" s="66"/>
      <c r="E16" s="71">
        <v>0.4</v>
      </c>
      <c r="F16" s="71">
        <v>0.25</v>
      </c>
      <c r="G16" s="71">
        <v>0.2</v>
      </c>
      <c r="H16" s="71">
        <v>0.15</v>
      </c>
      <c r="I16" s="71">
        <v>1</v>
      </c>
    </row>
    <row r="17" spans="3:9" ht="12">
      <c r="C17" s="63" t="s">
        <v>175</v>
      </c>
      <c r="D17" s="64"/>
      <c r="E17" s="69" t="s">
        <v>176</v>
      </c>
      <c r="F17" s="69" t="s">
        <v>177</v>
      </c>
      <c r="G17" s="69" t="s">
        <v>178</v>
      </c>
      <c r="H17" s="70" t="s">
        <v>128</v>
      </c>
      <c r="I17" s="69"/>
    </row>
    <row r="18" spans="3:9" ht="12">
      <c r="C18" s="67"/>
      <c r="D18" s="66"/>
      <c r="E18" s="71">
        <v>0.2</v>
      </c>
      <c r="F18" s="71">
        <v>0.35</v>
      </c>
      <c r="G18" s="71">
        <v>0.3</v>
      </c>
      <c r="H18" s="71">
        <v>0.15</v>
      </c>
      <c r="I18" s="71">
        <v>1</v>
      </c>
    </row>
    <row r="19" ht="12">
      <c r="B19" s="3" t="s">
        <v>34</v>
      </c>
    </row>
    <row r="21" spans="1:13" ht="16.5">
      <c r="A21" s="72" t="s">
        <v>218</v>
      </c>
      <c r="B21" s="73"/>
      <c r="C21" s="73"/>
      <c r="D21" s="73"/>
      <c r="E21" s="73"/>
      <c r="F21" s="73"/>
      <c r="G21" s="73"/>
      <c r="H21" s="73"/>
      <c r="I21" s="73"/>
      <c r="J21" s="73"/>
      <c r="K21" s="73"/>
      <c r="L21" s="73"/>
      <c r="M21" s="73"/>
    </row>
    <row r="22" ht="12">
      <c r="B22" t="s">
        <v>71</v>
      </c>
    </row>
    <row r="24" spans="1:13" ht="16.5">
      <c r="A24" s="74" t="s">
        <v>219</v>
      </c>
      <c r="B24" s="73"/>
      <c r="C24" s="73"/>
      <c r="D24" s="73"/>
      <c r="E24" s="73"/>
      <c r="F24" s="73"/>
      <c r="G24" s="73"/>
      <c r="H24" s="73"/>
      <c r="I24" s="73"/>
      <c r="J24" s="73"/>
      <c r="K24" s="73"/>
      <c r="L24" s="73"/>
      <c r="M24" s="73"/>
    </row>
    <row r="25" ht="12">
      <c r="B25" t="s">
        <v>200</v>
      </c>
    </row>
    <row r="26" ht="12">
      <c r="B26" s="3" t="s">
        <v>243</v>
      </c>
    </row>
    <row r="28" spans="1:13" ht="16.5">
      <c r="A28" s="74" t="s">
        <v>220</v>
      </c>
      <c r="B28" s="73"/>
      <c r="C28" s="73"/>
      <c r="D28" s="73"/>
      <c r="E28" s="73"/>
      <c r="F28" s="73"/>
      <c r="G28" s="73"/>
      <c r="H28" s="73"/>
      <c r="I28" s="73"/>
      <c r="J28" s="73"/>
      <c r="K28" s="73"/>
      <c r="L28" s="73"/>
      <c r="M28" s="73"/>
    </row>
    <row r="29" ht="12">
      <c r="B29" s="3" t="s">
        <v>139</v>
      </c>
    </row>
    <row r="30" ht="12">
      <c r="B30" s="3" t="s">
        <v>131</v>
      </c>
    </row>
    <row r="32" spans="1:13" ht="16.5">
      <c r="A32" s="74" t="s">
        <v>221</v>
      </c>
      <c r="B32" s="73"/>
      <c r="C32" s="73"/>
      <c r="D32" s="73"/>
      <c r="E32" s="73"/>
      <c r="F32" s="73"/>
      <c r="G32" s="73"/>
      <c r="H32" s="73"/>
      <c r="I32" s="73"/>
      <c r="J32" s="73"/>
      <c r="K32" s="73"/>
      <c r="L32" s="73"/>
      <c r="M32" s="73"/>
    </row>
    <row r="33" ht="12">
      <c r="B33" s="3" t="s">
        <v>103</v>
      </c>
    </row>
    <row r="34" ht="12">
      <c r="B34" t="s">
        <v>78</v>
      </c>
    </row>
    <row r="35" ht="12">
      <c r="B35" s="3" t="s">
        <v>130</v>
      </c>
    </row>
    <row r="36" ht="12">
      <c r="B36" s="3" t="s">
        <v>63</v>
      </c>
    </row>
    <row r="37" spans="1:5" ht="12">
      <c r="A37" t="s">
        <v>64</v>
      </c>
      <c r="B37" s="57" t="s">
        <v>79</v>
      </c>
      <c r="C37" s="57" t="s">
        <v>80</v>
      </c>
      <c r="D37" s="57" t="s">
        <v>81</v>
      </c>
      <c r="E37" s="58" t="s">
        <v>169</v>
      </c>
    </row>
    <row r="38" spans="2:5" ht="12">
      <c r="B38" s="57"/>
      <c r="C38" s="57"/>
      <c r="D38" s="57"/>
      <c r="E38" s="58"/>
    </row>
    <row r="39" spans="2:5" ht="12">
      <c r="B39" s="57"/>
      <c r="C39" s="57"/>
      <c r="D39" s="57"/>
      <c r="E39" s="58"/>
    </row>
    <row r="40" spans="2:6" ht="12">
      <c r="B40" s="62" t="s">
        <v>82</v>
      </c>
      <c r="C40" s="57"/>
      <c r="D40" s="57"/>
      <c r="E40" s="59">
        <v>0.06</v>
      </c>
      <c r="F40" s="3" t="s">
        <v>12</v>
      </c>
    </row>
    <row r="41" spans="2:5" ht="17.25" customHeight="1">
      <c r="B41" s="60"/>
      <c r="C41" s="60"/>
      <c r="D41" s="60"/>
      <c r="E41" s="61"/>
    </row>
    <row r="42" spans="1:13" ht="16.5">
      <c r="A42" s="74" t="s">
        <v>8</v>
      </c>
      <c r="B42" s="73"/>
      <c r="C42" s="73"/>
      <c r="D42" s="73"/>
      <c r="E42" s="73"/>
      <c r="F42" s="73"/>
      <c r="G42" s="73"/>
      <c r="H42" s="73"/>
      <c r="I42" s="73"/>
      <c r="J42" s="73"/>
      <c r="K42" s="73"/>
      <c r="L42" s="73"/>
      <c r="M42" s="73"/>
    </row>
    <row r="43" ht="12">
      <c r="G43" s="3"/>
    </row>
    <row r="44" spans="1:13" ht="16.5">
      <c r="A44" s="74" t="s">
        <v>101</v>
      </c>
      <c r="B44" s="73"/>
      <c r="C44" s="73"/>
      <c r="D44" s="73"/>
      <c r="E44" s="73"/>
      <c r="F44" s="73"/>
      <c r="G44" s="73"/>
      <c r="H44" s="73"/>
      <c r="I44" s="73"/>
      <c r="J44" s="73"/>
      <c r="K44" s="73"/>
      <c r="L44" s="73"/>
      <c r="M44" s="73"/>
    </row>
    <row r="45" spans="1:2" ht="14.25" customHeight="1">
      <c r="A45" s="56"/>
      <c r="B45" s="3" t="s">
        <v>114</v>
      </c>
    </row>
    <row r="46" spans="1:2" ht="13.5" customHeight="1">
      <c r="A46" s="56"/>
      <c r="B46" s="3" t="s">
        <v>115</v>
      </c>
    </row>
    <row r="47" ht="13.5" customHeight="1">
      <c r="B47" s="3" t="s">
        <v>116</v>
      </c>
    </row>
    <row r="48" ht="13.5" customHeight="1">
      <c r="B48" s="3" t="s">
        <v>11</v>
      </c>
    </row>
    <row r="50" spans="1:13" ht="16.5">
      <c r="A50" s="74" t="s">
        <v>102</v>
      </c>
      <c r="B50" s="73"/>
      <c r="C50" s="73"/>
      <c r="D50" s="73"/>
      <c r="E50" s="73"/>
      <c r="F50" s="73"/>
      <c r="G50" s="73"/>
      <c r="H50" s="73"/>
      <c r="I50" s="73"/>
      <c r="J50" s="73"/>
      <c r="K50" s="73"/>
      <c r="L50" s="73"/>
      <c r="M50" s="73"/>
    </row>
    <row r="51" spans="1:2" ht="15.75" customHeight="1">
      <c r="A51" s="56"/>
      <c r="B51" s="3" t="s">
        <v>9</v>
      </c>
    </row>
    <row r="52" spans="1:2" ht="16.5" customHeight="1">
      <c r="A52" s="56"/>
      <c r="B52" s="3"/>
    </row>
    <row r="53" ht="13.5" customHeight="1">
      <c r="B53" s="3" t="s">
        <v>32</v>
      </c>
    </row>
    <row r="54" ht="12">
      <c r="B54" s="3" t="s">
        <v>10</v>
      </c>
    </row>
    <row r="55" spans="1:2" ht="15.75" customHeight="1">
      <c r="A55" s="56"/>
      <c r="B55" s="3"/>
    </row>
    <row r="56" spans="1:13" ht="15.75" customHeight="1">
      <c r="A56" s="74" t="s">
        <v>33</v>
      </c>
      <c r="B56" s="146"/>
      <c r="C56" s="73"/>
      <c r="D56" s="73"/>
      <c r="E56" s="73"/>
      <c r="F56" s="73"/>
      <c r="G56" s="73"/>
      <c r="H56" s="73"/>
      <c r="I56" s="73"/>
      <c r="J56" s="73"/>
      <c r="K56" s="73"/>
      <c r="L56" s="73"/>
      <c r="M56" s="73"/>
    </row>
    <row r="57" spans="1:2" ht="15.75" customHeight="1">
      <c r="A57" s="56"/>
      <c r="B57" s="3" t="s">
        <v>90</v>
      </c>
    </row>
    <row r="71" ht="16.5"/>
    <row r="72" ht="16.5"/>
    <row r="73" ht="16.5"/>
    <row r="74" ht="16.5"/>
    <row r="76" ht="16.5"/>
  </sheetData>
  <sheetProtection/>
  <printOptions horizontalCentered="1"/>
  <pageMargins left="0.5" right="0.38" top="0.34" bottom="0.49" header="0.15" footer="0.25"/>
  <pageSetup fitToHeight="2" fitToWidth="1" horizontalDpi="600" verticalDpi="600" orientation="portrait" scale="81"/>
</worksheet>
</file>

<file path=xl/worksheets/sheet10.xml><?xml version="1.0" encoding="utf-8"?>
<worksheet xmlns="http://schemas.openxmlformats.org/spreadsheetml/2006/main" xmlns:r="http://schemas.openxmlformats.org/officeDocument/2006/relationships">
  <dimension ref="A1:J34"/>
  <sheetViews>
    <sheetView zoomScalePageLayoutView="0" workbookViewId="0" topLeftCell="A1">
      <selection activeCell="I46" sqref="I46"/>
    </sheetView>
  </sheetViews>
  <sheetFormatPr defaultColWidth="11.421875" defaultRowHeight="12.75"/>
  <cols>
    <col min="1" max="1" width="16.00390625" style="0" bestFit="1" customWidth="1"/>
    <col min="2" max="5" width="8.7109375" style="0" bestFit="1" customWidth="1"/>
    <col min="6" max="6" width="9.140625" style="0" customWidth="1"/>
    <col min="7" max="7" width="9.7109375" style="0" customWidth="1"/>
    <col min="8" max="8" width="9.140625" style="0" bestFit="1" customWidth="1"/>
    <col min="9" max="9" width="15.28125" style="0" bestFit="1" customWidth="1"/>
    <col min="10" max="10" width="12.00390625" style="0" bestFit="1" customWidth="1"/>
    <col min="11" max="16384" width="8.8515625" style="0" customWidth="1"/>
  </cols>
  <sheetData>
    <row r="1" spans="1:7" ht="12.75">
      <c r="A1" s="92" t="s">
        <v>15</v>
      </c>
      <c r="B1">
        <v>4</v>
      </c>
      <c r="C1">
        <v>4</v>
      </c>
      <c r="D1">
        <v>5</v>
      </c>
      <c r="E1">
        <v>4</v>
      </c>
      <c r="F1">
        <v>5</v>
      </c>
      <c r="G1">
        <v>4</v>
      </c>
    </row>
    <row r="2" spans="1:9" ht="12.75">
      <c r="A2" s="94" t="s">
        <v>237</v>
      </c>
      <c r="B2" s="94" t="s">
        <v>119</v>
      </c>
      <c r="C2" s="94" t="s">
        <v>120</v>
      </c>
      <c r="D2" s="94" t="s">
        <v>121</v>
      </c>
      <c r="E2" s="94" t="s">
        <v>122</v>
      </c>
      <c r="F2" s="94" t="s">
        <v>123</v>
      </c>
      <c r="G2" s="94" t="s">
        <v>124</v>
      </c>
      <c r="H2" s="94" t="s">
        <v>169</v>
      </c>
      <c r="I2" s="99" t="s">
        <v>53</v>
      </c>
    </row>
    <row r="3" spans="1:10" ht="12.75">
      <c r="A3" s="118" t="s">
        <v>132</v>
      </c>
      <c r="B3">
        <f>(I16-B1)*C16+B5</f>
        <v>583.6955056179776</v>
      </c>
      <c r="C3" s="130">
        <f>(I16-C1)*D16+C5</f>
        <v>498.4114606741573</v>
      </c>
      <c r="D3" s="130">
        <f>(I16-D1)*E16+D5</f>
        <v>538.0516853932584</v>
      </c>
      <c r="E3" s="130">
        <f>(I16-E1)*F16+E5</f>
        <v>363.36449438202243</v>
      </c>
      <c r="F3" s="130">
        <f>(I16-F1)*G16+F5</f>
        <v>308.32949438202246</v>
      </c>
      <c r="G3" s="135">
        <f>(I16-G1)*B17+G5</f>
        <v>333.4505617977528</v>
      </c>
      <c r="H3">
        <f>SUM(B3:G3)</f>
        <v>2625.303202247191</v>
      </c>
      <c r="I3" s="119">
        <v>184.3</v>
      </c>
      <c r="J3" s="108">
        <v>0.02</v>
      </c>
    </row>
    <row r="4" spans="1:10" ht="12.75">
      <c r="A4" s="94" t="s">
        <v>227</v>
      </c>
      <c r="I4" s="99"/>
      <c r="J4" s="91"/>
    </row>
    <row r="5" spans="1:10" ht="12.75">
      <c r="A5" s="118" t="s">
        <v>133</v>
      </c>
      <c r="B5" s="118">
        <v>110.9</v>
      </c>
      <c r="C5" s="118">
        <v>178.3</v>
      </c>
      <c r="D5" s="118">
        <v>150.9</v>
      </c>
      <c r="E5" s="118">
        <v>161.2</v>
      </c>
      <c r="F5" s="118">
        <v>95.3</v>
      </c>
      <c r="G5" s="118">
        <v>88.7</v>
      </c>
      <c r="H5" s="118">
        <v>785.3</v>
      </c>
      <c r="I5" s="119" t="s">
        <v>54</v>
      </c>
      <c r="J5" s="113"/>
    </row>
    <row r="6" spans="1:10" ht="12.75">
      <c r="A6" s="94" t="s">
        <v>134</v>
      </c>
      <c r="B6" s="105">
        <f>B5/H5%</f>
        <v>14.121991595568574</v>
      </c>
      <c r="C6" s="94">
        <f>C5/H5%</f>
        <v>22.704698841207183</v>
      </c>
      <c r="D6" s="94">
        <f>D5/H5%</f>
        <v>19.215586400101873</v>
      </c>
      <c r="E6" s="94">
        <f>E5/H5%</f>
        <v>20.527187062269196</v>
      </c>
      <c r="F6" s="94">
        <f>F5/H5%</f>
        <v>12.135489621800586</v>
      </c>
      <c r="G6" s="94">
        <f>G5/H5%</f>
        <v>11.295046479052592</v>
      </c>
      <c r="H6" s="94">
        <f>SUM(B6:G6)</f>
        <v>100</v>
      </c>
      <c r="I6" s="100">
        <v>0.117</v>
      </c>
      <c r="J6" s="91"/>
    </row>
    <row r="7" spans="1:10" ht="12.75">
      <c r="A7" s="118" t="s">
        <v>135</v>
      </c>
      <c r="B7" s="118">
        <v>16.5</v>
      </c>
      <c r="C7" s="118">
        <v>18.7</v>
      </c>
      <c r="D7" s="118">
        <v>21.3</v>
      </c>
      <c r="E7" s="118">
        <v>28.7</v>
      </c>
      <c r="F7" s="118">
        <v>42.3</v>
      </c>
      <c r="G7" s="118">
        <v>56.8</v>
      </c>
      <c r="H7" s="118">
        <v>184.3</v>
      </c>
      <c r="I7" s="119" t="s">
        <v>55</v>
      </c>
      <c r="J7" s="113"/>
    </row>
    <row r="8" spans="1:10" ht="12.75">
      <c r="A8" s="94" t="s">
        <v>52</v>
      </c>
      <c r="B8" s="106">
        <f>B7/H7</f>
        <v>0.08952794357026586</v>
      </c>
      <c r="C8" s="106">
        <f>C7/H7</f>
        <v>0.10146500271296797</v>
      </c>
      <c r="D8" s="106">
        <f>D7/H7</f>
        <v>0.1155724362452523</v>
      </c>
      <c r="E8" s="106">
        <f>E7/H7</f>
        <v>0.15572436245252305</v>
      </c>
      <c r="F8" s="106">
        <f>F7/H7</f>
        <v>0.22951709169831794</v>
      </c>
      <c r="G8" s="106">
        <f>G7/H7</f>
        <v>0.30819316332067276</v>
      </c>
      <c r="H8" s="106">
        <f>SUM(B8:G8)</f>
        <v>0.9999999999999998</v>
      </c>
      <c r="I8" s="99" t="s">
        <v>241</v>
      </c>
      <c r="J8" s="104" t="s">
        <v>242</v>
      </c>
    </row>
    <row r="9" spans="1:10" s="139" customFormat="1" ht="12.75">
      <c r="A9" s="138" t="s">
        <v>137</v>
      </c>
      <c r="B9" s="139">
        <f aca="true" t="shared" si="0" ref="B9:H9">B10+B5+B7-B3</f>
        <v>42.1159550561797</v>
      </c>
      <c r="C9" s="139">
        <f t="shared" si="0"/>
        <v>236.64022471910107</v>
      </c>
      <c r="D9" s="139">
        <f t="shared" si="0"/>
        <v>-2.48719101123595</v>
      </c>
      <c r="E9" s="139">
        <f t="shared" si="0"/>
        <v>134.865</v>
      </c>
      <c r="F9" s="139">
        <f t="shared" si="0"/>
        <v>162.72050561797755</v>
      </c>
      <c r="G9" s="139">
        <f t="shared" si="0"/>
        <v>233.8011235955055</v>
      </c>
      <c r="H9" s="139">
        <f t="shared" si="0"/>
        <v>807.6556179775275</v>
      </c>
      <c r="I9" s="140">
        <v>513.53</v>
      </c>
      <c r="J9" s="141">
        <f>(H3+G10)/7</f>
        <v>435.2935553772071</v>
      </c>
    </row>
    <row r="10" spans="1:10" ht="12.75">
      <c r="A10" s="118" t="s">
        <v>138</v>
      </c>
      <c r="B10" s="130">
        <f>(I16-C1)*D16+C5</f>
        <v>498.4114606741573</v>
      </c>
      <c r="C10">
        <f>(I16-D1)*E16+D5</f>
        <v>538.0516853932584</v>
      </c>
      <c r="D10">
        <f>(I16-E1)*F16+E5</f>
        <v>363.36449438202243</v>
      </c>
      <c r="E10">
        <f>(I16-F1)*G16+F5</f>
        <v>308.32949438202246</v>
      </c>
      <c r="F10">
        <v>333.45</v>
      </c>
      <c r="G10" s="135">
        <f>(I16-G1)*C17+G5</f>
        <v>421.75168539325836</v>
      </c>
      <c r="H10" s="130">
        <f>SUM(B10:G10)</f>
        <v>2463.358820224719</v>
      </c>
      <c r="I10" s="119" t="s">
        <v>58</v>
      </c>
      <c r="J10" s="113"/>
    </row>
    <row r="11" spans="1:10" ht="12.75">
      <c r="A11" s="94"/>
      <c r="I11" s="99" t="s">
        <v>56</v>
      </c>
      <c r="J11" s="91" t="s">
        <v>242</v>
      </c>
    </row>
    <row r="12" spans="1:10" ht="12.75">
      <c r="A12" s="94" t="s">
        <v>49</v>
      </c>
      <c r="B12" s="94" t="s">
        <v>50</v>
      </c>
      <c r="C12" s="94" t="s">
        <v>117</v>
      </c>
      <c r="D12" s="94" t="s">
        <v>118</v>
      </c>
      <c r="I12" s="99">
        <v>1.78</v>
      </c>
      <c r="J12" s="137">
        <f>H5/J9</f>
        <v>1.804069897886478</v>
      </c>
    </row>
    <row r="13" spans="1:10" ht="12.75">
      <c r="A13" s="94"/>
      <c r="B13" s="95">
        <v>92.3</v>
      </c>
      <c r="C13" s="95">
        <v>125.6</v>
      </c>
      <c r="D13" s="95">
        <v>130.8</v>
      </c>
      <c r="I13" s="99"/>
      <c r="J13" s="91"/>
    </row>
    <row r="14" spans="1:10" ht="12.75">
      <c r="A14" s="91" t="s">
        <v>227</v>
      </c>
      <c r="F14" s="94" t="s">
        <v>238</v>
      </c>
      <c r="I14" s="99" t="s">
        <v>0</v>
      </c>
      <c r="J14" s="91"/>
    </row>
    <row r="15" spans="1:10" ht="12.75">
      <c r="A15" s="91"/>
      <c r="I15" s="99" t="s">
        <v>56</v>
      </c>
      <c r="J15" s="91" t="s">
        <v>57</v>
      </c>
    </row>
    <row r="16" spans="1:10" ht="12.75">
      <c r="A16" s="91" t="s">
        <v>239</v>
      </c>
      <c r="B16" s="130">
        <f aca="true" t="shared" si="1" ref="B16:G16">B5/B1</f>
        <v>27.725</v>
      </c>
      <c r="C16" s="130">
        <f t="shared" si="1"/>
        <v>44.575</v>
      </c>
      <c r="D16" s="130">
        <f t="shared" si="1"/>
        <v>30.18</v>
      </c>
      <c r="E16" s="130">
        <f t="shared" si="1"/>
        <v>40.3</v>
      </c>
      <c r="F16" s="130">
        <f t="shared" si="1"/>
        <v>19.06</v>
      </c>
      <c r="G16" s="130">
        <f t="shared" si="1"/>
        <v>22.175</v>
      </c>
      <c r="I16" s="136">
        <f>26/I12</f>
        <v>14.606741573033707</v>
      </c>
      <c r="J16" s="129">
        <f>26/J12</f>
        <v>14.411858448755106</v>
      </c>
    </row>
    <row r="17" spans="1:4" ht="12.75">
      <c r="A17" s="91" t="s">
        <v>240</v>
      </c>
      <c r="B17" s="135">
        <f>B13/B1</f>
        <v>23.075</v>
      </c>
      <c r="C17" s="135">
        <f>C13/C1</f>
        <v>31.4</v>
      </c>
      <c r="D17" s="135">
        <f>D13/D1</f>
        <v>26.160000000000004</v>
      </c>
    </row>
    <row r="18" ht="12.75">
      <c r="A18" s="91"/>
    </row>
    <row r="19" ht="12.75">
      <c r="A19" s="91" t="s">
        <v>51</v>
      </c>
    </row>
    <row r="20" spans="1:10" ht="12.75">
      <c r="A20" s="91" t="s">
        <v>16</v>
      </c>
      <c r="B20" s="91" t="s">
        <v>119</v>
      </c>
      <c r="C20" s="91" t="s">
        <v>120</v>
      </c>
      <c r="D20" s="91" t="s">
        <v>121</v>
      </c>
      <c r="E20" s="91" t="s">
        <v>122</v>
      </c>
      <c r="F20" s="91" t="s">
        <v>123</v>
      </c>
      <c r="G20" s="91" t="s">
        <v>124</v>
      </c>
      <c r="H20" s="91" t="s">
        <v>169</v>
      </c>
      <c r="I20" s="97" t="s">
        <v>53</v>
      </c>
      <c r="J20" s="91"/>
    </row>
    <row r="21" spans="1:10" ht="12.75">
      <c r="A21" s="113" t="s">
        <v>132</v>
      </c>
      <c r="B21" s="130">
        <f>(I33*B1)+(I33-C1)*C33</f>
        <v>598.3101123595504</v>
      </c>
      <c r="C21" s="130">
        <f>(I33*C1)+(I33-D1)*D33</f>
        <v>389.47528089887635</v>
      </c>
      <c r="D21" s="130">
        <f>(I33*D1)+(I33-E1)*E33</f>
        <v>561.2089887640449</v>
      </c>
      <c r="E21" s="130">
        <f>(I33*E1)+(I33-F1)*F33</f>
        <v>267.4696629213483</v>
      </c>
      <c r="F21" s="130">
        <f>(I33*F1)+(I33-G1)*G33</f>
        <v>341.64943820224715</v>
      </c>
      <c r="G21" s="130">
        <f>(I33*G1)+(I33-4)*B33</f>
        <v>394.1303370786516</v>
      </c>
      <c r="H21" s="130">
        <f>SUM(B21:G21)</f>
        <v>2552.243820224719</v>
      </c>
      <c r="I21" s="114"/>
      <c r="J21" s="113">
        <v>0.235</v>
      </c>
    </row>
    <row r="22" spans="1:10" ht="12.75">
      <c r="A22" s="91" t="s">
        <v>227</v>
      </c>
      <c r="I22" s="97"/>
      <c r="J22" s="91"/>
    </row>
    <row r="23" spans="1:10" ht="12.75">
      <c r="A23" s="113" t="s">
        <v>133</v>
      </c>
      <c r="B23" s="113">
        <v>126.6</v>
      </c>
      <c r="C23" s="113">
        <v>203.6</v>
      </c>
      <c r="D23" s="113">
        <v>172.3</v>
      </c>
      <c r="E23" s="113">
        <v>184.1</v>
      </c>
      <c r="F23" s="113">
        <v>108.8</v>
      </c>
      <c r="G23" s="113">
        <v>101.3</v>
      </c>
      <c r="H23" s="113">
        <f>H5+(H5*I24)</f>
        <v>896.8126</v>
      </c>
      <c r="I23" s="114" t="s">
        <v>54</v>
      </c>
      <c r="J23" s="113"/>
    </row>
    <row r="24" spans="1:10" ht="12.75">
      <c r="A24" s="91" t="s">
        <v>134</v>
      </c>
      <c r="B24" s="96">
        <v>0.14122</v>
      </c>
      <c r="C24" s="96">
        <v>0.227047</v>
      </c>
      <c r="D24" s="96">
        <v>0.1921559</v>
      </c>
      <c r="E24" s="96">
        <v>0.2052719</v>
      </c>
      <c r="F24" s="96">
        <v>0.121355</v>
      </c>
      <c r="G24" s="96">
        <v>0.11295</v>
      </c>
      <c r="H24" s="96">
        <f>SUM(B24:G24)</f>
        <v>0.9999998000000001</v>
      </c>
      <c r="I24" s="101">
        <v>0.142</v>
      </c>
      <c r="J24" s="91"/>
    </row>
    <row r="25" spans="1:10" ht="12.75">
      <c r="A25" s="113" t="s">
        <v>135</v>
      </c>
      <c r="B25" s="113">
        <v>19</v>
      </c>
      <c r="C25" s="113">
        <v>21.3</v>
      </c>
      <c r="D25" s="113">
        <v>24.4</v>
      </c>
      <c r="E25" s="113">
        <v>32.9</v>
      </c>
      <c r="F25" s="113">
        <v>48.5</v>
      </c>
      <c r="G25" s="113">
        <v>64.9</v>
      </c>
      <c r="H25" s="113">
        <v>210.75</v>
      </c>
      <c r="I25" s="114" t="s">
        <v>55</v>
      </c>
      <c r="J25" s="113"/>
    </row>
    <row r="26" spans="1:10" ht="12.75">
      <c r="A26" s="91" t="s">
        <v>52</v>
      </c>
      <c r="B26" s="107">
        <v>0.09</v>
      </c>
      <c r="C26" s="107">
        <v>0.101</v>
      </c>
      <c r="D26" s="107">
        <v>0.116</v>
      </c>
      <c r="E26" s="107">
        <v>0.156</v>
      </c>
      <c r="F26" s="107">
        <v>0.23</v>
      </c>
      <c r="G26" s="107">
        <v>0.308</v>
      </c>
      <c r="H26" s="107">
        <v>1</v>
      </c>
      <c r="I26" s="97" t="s">
        <v>241</v>
      </c>
      <c r="J26" s="91" t="s">
        <v>242</v>
      </c>
    </row>
    <row r="27" spans="1:10" s="139" customFormat="1" ht="12.75">
      <c r="A27" s="141" t="s">
        <v>137</v>
      </c>
      <c r="B27" s="139">
        <f aca="true" t="shared" si="2" ref="B27:H27">B28+B23+B25-B21</f>
        <v>116.3982022471912</v>
      </c>
      <c r="C27" s="139">
        <f t="shared" si="2"/>
        <v>449.875</v>
      </c>
      <c r="D27" s="139">
        <f t="shared" si="2"/>
        <v>50.39370786516861</v>
      </c>
      <c r="E27" s="139">
        <f t="shared" si="2"/>
        <v>301.62106741573035</v>
      </c>
      <c r="F27" s="139">
        <f t="shared" si="2"/>
        <v>176.28539325842695</v>
      </c>
      <c r="G27" s="139">
        <f t="shared" si="2"/>
        <v>192.6325842696629</v>
      </c>
      <c r="H27" s="139">
        <f t="shared" si="2"/>
        <v>1287.0685550561798</v>
      </c>
      <c r="I27" s="142">
        <v>580.3</v>
      </c>
      <c r="J27" s="141">
        <f>(H21+G28)/7</f>
        <v>424.68667736757624</v>
      </c>
    </row>
    <row r="28" spans="1:10" ht="12.75">
      <c r="A28" s="113" t="s">
        <v>138</v>
      </c>
      <c r="B28" s="130">
        <f>(I33-C1)*D33+C23</f>
        <v>569.1083146067416</v>
      </c>
      <c r="C28" s="130">
        <f>(I33-D1)*E33+D23</f>
        <v>614.4502808988764</v>
      </c>
      <c r="D28">
        <f>(I33-E1)*F33+E23</f>
        <v>414.90269662921344</v>
      </c>
      <c r="E28">
        <f>(I33-F1)*G33+F23</f>
        <v>352.09073033707864</v>
      </c>
      <c r="F28" s="130">
        <f>(I33-G1)*B34+G23</f>
        <v>360.63483146067415</v>
      </c>
      <c r="G28" s="130">
        <f>(I33-G1)*C34+G23</f>
        <v>420.5629213483146</v>
      </c>
      <c r="H28" s="130">
        <f>SUM(B28:G28)</f>
        <v>2731.7497752808986</v>
      </c>
      <c r="I28" s="114" t="s">
        <v>58</v>
      </c>
      <c r="J28" s="113"/>
    </row>
    <row r="29" spans="1:10" ht="12.75">
      <c r="A29" s="91" t="s">
        <v>49</v>
      </c>
      <c r="B29" s="91" t="s">
        <v>50</v>
      </c>
      <c r="C29" s="91" t="s">
        <v>117</v>
      </c>
      <c r="D29" s="91" t="s">
        <v>118</v>
      </c>
      <c r="I29" s="97" t="s">
        <v>247</v>
      </c>
      <c r="J29" s="91" t="s">
        <v>57</v>
      </c>
    </row>
    <row r="30" spans="1:10" ht="12.75">
      <c r="A30" s="113"/>
      <c r="B30" s="113">
        <v>97.8</v>
      </c>
      <c r="C30" s="113">
        <v>120.4</v>
      </c>
      <c r="D30" s="113">
        <v>129.8</v>
      </c>
      <c r="I30" s="128">
        <v>1.78</v>
      </c>
      <c r="J30" s="113">
        <f>H23/J27</f>
        <v>2.1117041051508845</v>
      </c>
    </row>
    <row r="31" spans="1:10" ht="12.75">
      <c r="A31" s="91" t="s">
        <v>227</v>
      </c>
      <c r="F31" s="94" t="s">
        <v>238</v>
      </c>
      <c r="I31" s="99" t="s">
        <v>0</v>
      </c>
      <c r="J31" s="91"/>
    </row>
    <row r="32" spans="9:10" ht="12.75">
      <c r="I32" s="99" t="s">
        <v>56</v>
      </c>
      <c r="J32" s="91" t="s">
        <v>57</v>
      </c>
    </row>
    <row r="33" spans="1:10" ht="12.75">
      <c r="A33" s="91" t="s">
        <v>239</v>
      </c>
      <c r="B33" s="131">
        <f aca="true" t="shared" si="3" ref="B33:G33">B23/B1</f>
        <v>31.65</v>
      </c>
      <c r="C33" s="131">
        <f t="shared" si="3"/>
        <v>50.9</v>
      </c>
      <c r="D33" s="131">
        <f t="shared" si="3"/>
        <v>34.46</v>
      </c>
      <c r="E33" s="131">
        <f t="shared" si="3"/>
        <v>46.025</v>
      </c>
      <c r="F33" s="131">
        <f t="shared" si="3"/>
        <v>21.759999999999998</v>
      </c>
      <c r="G33" s="131">
        <f t="shared" si="3"/>
        <v>25.325</v>
      </c>
      <c r="I33" s="129">
        <f>26/I30</f>
        <v>14.606741573033707</v>
      </c>
      <c r="J33" s="130">
        <f>26/J30</f>
        <v>12.312331039457945</v>
      </c>
    </row>
    <row r="34" spans="1:4" ht="12.75">
      <c r="A34" s="91" t="s">
        <v>240</v>
      </c>
      <c r="B34" s="130">
        <f>B30/B1</f>
        <v>24.45</v>
      </c>
      <c r="C34" s="130">
        <f>C30/C1</f>
        <v>30.1</v>
      </c>
      <c r="D34" s="130">
        <f>D30/D1</f>
        <v>25.96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G54"/>
  <sheetViews>
    <sheetView zoomScalePageLayoutView="0" workbookViewId="0" topLeftCell="A1">
      <selection activeCell="I16" sqref="I16"/>
    </sheetView>
  </sheetViews>
  <sheetFormatPr defaultColWidth="11.421875" defaultRowHeight="12.75"/>
  <cols>
    <col min="2" max="2" width="9.421875" style="0" customWidth="1"/>
    <col min="3" max="3" width="8.28125" style="0" customWidth="1"/>
    <col min="4" max="4" width="6.28125" style="0" customWidth="1"/>
    <col min="5" max="5" width="8.421875" style="0" customWidth="1"/>
    <col min="6" max="7" width="7.7109375" style="0" customWidth="1"/>
  </cols>
  <sheetData>
    <row r="3" ht="12">
      <c r="A3" t="s">
        <v>96</v>
      </c>
    </row>
    <row r="4" ht="12">
      <c r="A4" t="s">
        <v>75</v>
      </c>
    </row>
    <row r="5" ht="12">
      <c r="A5" t="s">
        <v>76</v>
      </c>
    </row>
    <row r="6" ht="12">
      <c r="A6" t="s">
        <v>77</v>
      </c>
    </row>
    <row r="9" spans="1:4" ht="12">
      <c r="A9" s="143" t="s">
        <v>17</v>
      </c>
      <c r="B9" s="143"/>
      <c r="C9" s="143"/>
      <c r="D9" s="143"/>
    </row>
    <row r="10" spans="1:3" ht="12">
      <c r="A10" s="143" t="s">
        <v>18</v>
      </c>
      <c r="B10" s="143"/>
      <c r="C10" s="143"/>
    </row>
    <row r="12" spans="1:2" ht="12">
      <c r="A12" t="s">
        <v>19</v>
      </c>
      <c r="B12" s="75">
        <v>144</v>
      </c>
    </row>
    <row r="13" spans="1:2" ht="12">
      <c r="A13" t="s">
        <v>20</v>
      </c>
      <c r="B13" s="76">
        <v>1</v>
      </c>
    </row>
    <row r="14" ht="12">
      <c r="B14" s="76"/>
    </row>
    <row r="15" spans="1:7" ht="12">
      <c r="A15" s="77" t="s">
        <v>21</v>
      </c>
      <c r="B15" s="77" t="s">
        <v>22</v>
      </c>
      <c r="C15" s="77" t="s">
        <v>23</v>
      </c>
      <c r="D15" s="77" t="s">
        <v>177</v>
      </c>
      <c r="E15" s="77" t="s">
        <v>178</v>
      </c>
      <c r="F15" s="77" t="s">
        <v>128</v>
      </c>
      <c r="G15" s="77"/>
    </row>
    <row r="16" spans="1:7" ht="12">
      <c r="A16" s="77" t="s">
        <v>20</v>
      </c>
      <c r="B16" s="78">
        <v>0.1</v>
      </c>
      <c r="C16" s="78">
        <v>0.25</v>
      </c>
      <c r="D16" s="78">
        <v>0.2</v>
      </c>
      <c r="E16" s="78">
        <v>0.2</v>
      </c>
      <c r="F16" s="78">
        <v>0.25</v>
      </c>
      <c r="G16" s="77"/>
    </row>
    <row r="17" spans="1:7" ht="12">
      <c r="A17" s="77" t="s">
        <v>24</v>
      </c>
      <c r="B17" s="77" t="s">
        <v>25</v>
      </c>
      <c r="C17" s="77" t="s">
        <v>26</v>
      </c>
      <c r="D17" s="77" t="s">
        <v>27</v>
      </c>
      <c r="E17" s="77" t="s">
        <v>28</v>
      </c>
      <c r="F17" s="77" t="s">
        <v>29</v>
      </c>
      <c r="G17" s="77" t="s">
        <v>30</v>
      </c>
    </row>
    <row r="18" spans="1:7" ht="12">
      <c r="A18" s="77" t="s">
        <v>20</v>
      </c>
      <c r="B18" s="78">
        <v>0.15</v>
      </c>
      <c r="C18" s="78">
        <v>0.25</v>
      </c>
      <c r="D18" s="78">
        <v>0.07</v>
      </c>
      <c r="E18" s="78">
        <v>0.05</v>
      </c>
      <c r="F18" s="78">
        <v>0.05</v>
      </c>
      <c r="G18" s="78">
        <v>0.45</v>
      </c>
    </row>
    <row r="19" spans="1:7" ht="12">
      <c r="A19" s="79"/>
      <c r="B19" s="80"/>
      <c r="C19" s="80"/>
      <c r="D19" s="80"/>
      <c r="E19" s="80"/>
      <c r="F19" s="80"/>
      <c r="G19" s="80"/>
    </row>
    <row r="21" spans="1:4" ht="12">
      <c r="A21" s="143" t="s">
        <v>31</v>
      </c>
      <c r="B21" s="143"/>
      <c r="C21" s="143"/>
      <c r="D21" s="143"/>
    </row>
    <row r="22" spans="1:3" ht="12">
      <c r="A22" s="143" t="s">
        <v>105</v>
      </c>
      <c r="B22" s="143"/>
      <c r="C22" s="143"/>
    </row>
    <row r="24" spans="1:2" ht="12">
      <c r="A24" t="s">
        <v>19</v>
      </c>
      <c r="B24" s="75">
        <v>124</v>
      </c>
    </row>
    <row r="25" spans="1:2" ht="12">
      <c r="A25" t="s">
        <v>20</v>
      </c>
      <c r="B25" s="76">
        <v>1</v>
      </c>
    </row>
    <row r="26" ht="12">
      <c r="B26" s="76"/>
    </row>
    <row r="27" spans="1:7" ht="12">
      <c r="A27" s="77" t="s">
        <v>21</v>
      </c>
      <c r="B27" s="77" t="s">
        <v>23</v>
      </c>
      <c r="C27" s="77" t="s">
        <v>177</v>
      </c>
      <c r="D27" s="77" t="s">
        <v>178</v>
      </c>
      <c r="E27" s="77" t="s">
        <v>128</v>
      </c>
      <c r="F27" s="77"/>
      <c r="G27" s="79"/>
    </row>
    <row r="28" spans="1:7" ht="12">
      <c r="A28" s="77" t="s">
        <v>20</v>
      </c>
      <c r="B28" s="78">
        <v>0.3</v>
      </c>
      <c r="C28" s="78">
        <v>0.15</v>
      </c>
      <c r="D28" s="78">
        <v>0.3</v>
      </c>
      <c r="E28" s="78">
        <v>0.25</v>
      </c>
      <c r="F28" s="78"/>
      <c r="G28" s="79"/>
    </row>
    <row r="29" spans="1:7" ht="12">
      <c r="A29" s="77" t="s">
        <v>24</v>
      </c>
      <c r="B29" s="77" t="s">
        <v>25</v>
      </c>
      <c r="C29" s="77" t="s">
        <v>26</v>
      </c>
      <c r="D29" s="77" t="s">
        <v>27</v>
      </c>
      <c r="E29" s="77" t="s">
        <v>28</v>
      </c>
      <c r="F29" s="77" t="s">
        <v>106</v>
      </c>
      <c r="G29" s="79"/>
    </row>
    <row r="30" spans="1:7" ht="12">
      <c r="A30" s="77" t="s">
        <v>20</v>
      </c>
      <c r="B30" s="78">
        <v>0.3</v>
      </c>
      <c r="C30" s="78">
        <v>0.35</v>
      </c>
      <c r="D30" s="78">
        <v>0.2</v>
      </c>
      <c r="E30" s="78">
        <v>0.1</v>
      </c>
      <c r="F30" s="78">
        <v>0.05</v>
      </c>
      <c r="G30" s="80"/>
    </row>
    <row r="31" spans="1:7" ht="12">
      <c r="A31" s="79"/>
      <c r="B31" s="80"/>
      <c r="C31" s="80"/>
      <c r="D31" s="80"/>
      <c r="E31" s="80"/>
      <c r="F31" s="80"/>
      <c r="G31" s="80"/>
    </row>
    <row r="33" spans="1:4" ht="12">
      <c r="A33" s="143" t="s">
        <v>107</v>
      </c>
      <c r="B33" s="143"/>
      <c r="C33" s="143"/>
      <c r="D33" s="143"/>
    </row>
    <row r="34" spans="1:3" ht="12">
      <c r="A34" s="143" t="s">
        <v>108</v>
      </c>
      <c r="B34" s="143"/>
      <c r="C34" s="143"/>
    </row>
    <row r="36" spans="1:2" ht="12">
      <c r="A36" t="s">
        <v>19</v>
      </c>
      <c r="B36" s="75">
        <v>198</v>
      </c>
    </row>
    <row r="37" spans="1:2" ht="12">
      <c r="A37" t="s">
        <v>20</v>
      </c>
      <c r="B37" s="76">
        <v>1</v>
      </c>
    </row>
    <row r="38" ht="12">
      <c r="B38" s="76"/>
    </row>
    <row r="39" spans="1:7" ht="12">
      <c r="A39" s="77" t="s">
        <v>21</v>
      </c>
      <c r="B39" s="77" t="s">
        <v>177</v>
      </c>
      <c r="C39" s="77" t="s">
        <v>178</v>
      </c>
      <c r="D39" s="77" t="s">
        <v>128</v>
      </c>
      <c r="E39" s="77"/>
      <c r="F39" s="77"/>
      <c r="G39" s="69"/>
    </row>
    <row r="40" spans="1:7" ht="12">
      <c r="A40" s="77" t="s">
        <v>20</v>
      </c>
      <c r="B40" s="78">
        <v>0.3</v>
      </c>
      <c r="C40" s="78">
        <v>0.15</v>
      </c>
      <c r="D40" s="78">
        <v>0.3</v>
      </c>
      <c r="E40" s="78"/>
      <c r="F40" s="78"/>
      <c r="G40" s="69"/>
    </row>
    <row r="41" spans="1:7" ht="12">
      <c r="A41" s="77" t="s">
        <v>24</v>
      </c>
      <c r="B41" s="77" t="s">
        <v>25</v>
      </c>
      <c r="C41" s="77" t="s">
        <v>26</v>
      </c>
      <c r="D41" s="77" t="s">
        <v>27</v>
      </c>
      <c r="E41" s="77" t="s">
        <v>173</v>
      </c>
      <c r="F41" s="77" t="s">
        <v>140</v>
      </c>
      <c r="G41" s="81" t="s">
        <v>30</v>
      </c>
    </row>
    <row r="42" spans="1:7" ht="12">
      <c r="A42" s="77" t="s">
        <v>20</v>
      </c>
      <c r="B42" s="78">
        <v>0.2</v>
      </c>
      <c r="C42" s="78">
        <v>0.2</v>
      </c>
      <c r="D42" s="78">
        <v>0.15</v>
      </c>
      <c r="E42" s="78">
        <v>0.15</v>
      </c>
      <c r="F42" s="78">
        <v>0.2</v>
      </c>
      <c r="G42" s="82">
        <v>0.1</v>
      </c>
    </row>
    <row r="43" spans="1:7" ht="12">
      <c r="A43" s="79"/>
      <c r="B43" s="80"/>
      <c r="C43" s="80"/>
      <c r="D43" s="80"/>
      <c r="E43" s="80"/>
      <c r="F43" s="80"/>
      <c r="G43" s="83"/>
    </row>
    <row r="45" spans="1:4" ht="12">
      <c r="A45" s="143" t="s">
        <v>59</v>
      </c>
      <c r="B45" s="143"/>
      <c r="C45" s="143"/>
      <c r="D45" s="143"/>
    </row>
    <row r="46" spans="1:3" ht="12">
      <c r="A46" s="143" t="s">
        <v>60</v>
      </c>
      <c r="B46" s="143"/>
      <c r="C46" s="143"/>
    </row>
    <row r="48" spans="1:2" ht="12">
      <c r="A48" t="s">
        <v>19</v>
      </c>
      <c r="B48" s="75">
        <v>164</v>
      </c>
    </row>
    <row r="49" spans="1:2" ht="12">
      <c r="A49" t="s">
        <v>20</v>
      </c>
      <c r="B49" s="76">
        <v>1</v>
      </c>
    </row>
    <row r="50" ht="12">
      <c r="B50" s="76"/>
    </row>
    <row r="51" spans="1:6" ht="12">
      <c r="A51" s="77" t="s">
        <v>21</v>
      </c>
      <c r="B51" s="77" t="s">
        <v>23</v>
      </c>
      <c r="C51" s="77" t="s">
        <v>177</v>
      </c>
      <c r="D51" s="77" t="s">
        <v>178</v>
      </c>
      <c r="E51" s="77" t="s">
        <v>128</v>
      </c>
      <c r="F51" s="77"/>
    </row>
    <row r="52" spans="1:6" ht="12">
      <c r="A52" s="77" t="s">
        <v>20</v>
      </c>
      <c r="B52" s="78">
        <v>0.25</v>
      </c>
      <c r="C52" s="78">
        <v>0.35</v>
      </c>
      <c r="D52" s="78">
        <v>0.15</v>
      </c>
      <c r="E52" s="78">
        <v>0.25</v>
      </c>
      <c r="F52" s="78"/>
    </row>
    <row r="53" spans="1:6" ht="12">
      <c r="A53" s="77" t="s">
        <v>24</v>
      </c>
      <c r="B53" s="77" t="s">
        <v>172</v>
      </c>
      <c r="C53" s="77" t="s">
        <v>27</v>
      </c>
      <c r="D53" s="77" t="s">
        <v>61</v>
      </c>
      <c r="E53" s="77" t="s">
        <v>62</v>
      </c>
      <c r="F53" s="77" t="s">
        <v>30</v>
      </c>
    </row>
    <row r="54" spans="1:6" ht="12">
      <c r="A54" s="77" t="s">
        <v>20</v>
      </c>
      <c r="B54" s="78">
        <v>0.1</v>
      </c>
      <c r="C54" s="78">
        <v>0.5</v>
      </c>
      <c r="D54" s="78">
        <v>0.05</v>
      </c>
      <c r="E54" s="78">
        <v>0.1</v>
      </c>
      <c r="F54" s="78">
        <v>0.25</v>
      </c>
    </row>
  </sheetData>
  <sheetProtection/>
  <mergeCells count="8">
    <mergeCell ref="A33:D33"/>
    <mergeCell ref="A34:C34"/>
    <mergeCell ref="A45:D45"/>
    <mergeCell ref="A46:C46"/>
    <mergeCell ref="A9:D9"/>
    <mergeCell ref="A10:C10"/>
    <mergeCell ref="A21:D21"/>
    <mergeCell ref="A22:C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62"/>
  <sheetViews>
    <sheetView zoomScalePageLayoutView="0" workbookViewId="0" topLeftCell="A1">
      <selection activeCell="B146" sqref="B146"/>
    </sheetView>
  </sheetViews>
  <sheetFormatPr defaultColWidth="9.140625" defaultRowHeight="12.75"/>
  <cols>
    <col min="1" max="1" width="28.421875" style="3" customWidth="1"/>
    <col min="2" max="2" width="15.421875" style="3" customWidth="1"/>
    <col min="3" max="16384" width="9.140625" style="3" customWidth="1"/>
  </cols>
  <sheetData>
    <row r="1" spans="1:10" ht="23.25" customHeight="1">
      <c r="A1" s="84" t="s">
        <v>253</v>
      </c>
      <c r="B1"/>
      <c r="C1"/>
      <c r="D1" s="1"/>
      <c r="E1" s="1"/>
      <c r="F1" s="1"/>
      <c r="G1" s="1"/>
      <c r="H1" s="1"/>
      <c r="I1" s="1"/>
      <c r="J1" s="1"/>
    </row>
    <row r="2" spans="1:3" ht="15">
      <c r="A2" s="84"/>
      <c r="B2"/>
      <c r="C2"/>
    </row>
    <row r="3" spans="1:3" ht="15">
      <c r="A3" s="85" t="s">
        <v>254</v>
      </c>
      <c r="B3"/>
      <c r="C3"/>
    </row>
    <row r="4" spans="1:3" ht="15">
      <c r="A4" s="84"/>
      <c r="B4"/>
      <c r="C4"/>
    </row>
    <row r="5" spans="1:3" ht="15">
      <c r="A5" s="84" t="s">
        <v>255</v>
      </c>
      <c r="B5"/>
      <c r="C5"/>
    </row>
    <row r="6" spans="1:3" ht="15">
      <c r="A6" s="84" t="s">
        <v>256</v>
      </c>
      <c r="B6"/>
      <c r="C6"/>
    </row>
    <row r="7" spans="1:3" ht="15">
      <c r="A7" s="84" t="s">
        <v>257</v>
      </c>
      <c r="B7"/>
      <c r="C7"/>
    </row>
    <row r="8" spans="1:3" ht="15">
      <c r="A8" s="84"/>
      <c r="B8"/>
      <c r="C8"/>
    </row>
    <row r="9" spans="1:3" ht="15">
      <c r="A9" s="85" t="s">
        <v>258</v>
      </c>
      <c r="B9"/>
      <c r="C9"/>
    </row>
    <row r="10" spans="1:3" ht="15">
      <c r="A10" s="85"/>
      <c r="B10"/>
      <c r="C10"/>
    </row>
    <row r="11" spans="1:3" ht="15">
      <c r="A11" s="84" t="s">
        <v>259</v>
      </c>
      <c r="B11" s="86">
        <v>0.08</v>
      </c>
      <c r="C11"/>
    </row>
    <row r="12" spans="1:3" ht="15">
      <c r="A12" s="84" t="s">
        <v>260</v>
      </c>
      <c r="B12" s="86">
        <v>0.07</v>
      </c>
      <c r="C12"/>
    </row>
    <row r="13" spans="1:3" ht="15">
      <c r="A13" s="84" t="s">
        <v>261</v>
      </c>
      <c r="B13" s="86">
        <v>0.07</v>
      </c>
      <c r="C13"/>
    </row>
    <row r="14" spans="1:3" ht="15">
      <c r="A14" s="84" t="s">
        <v>262</v>
      </c>
      <c r="B14" s="86">
        <v>0.09</v>
      </c>
      <c r="C14"/>
    </row>
    <row r="15" spans="1:3" ht="15">
      <c r="A15" s="84" t="s">
        <v>263</v>
      </c>
      <c r="B15" s="86">
        <v>0.1</v>
      </c>
      <c r="C15"/>
    </row>
    <row r="16" spans="1:3" ht="15">
      <c r="A16" s="84" t="s">
        <v>264</v>
      </c>
      <c r="B16" s="86">
        <v>0.18</v>
      </c>
      <c r="C16"/>
    </row>
    <row r="17" spans="1:3" ht="15">
      <c r="A17" s="84" t="s">
        <v>265</v>
      </c>
      <c r="B17" s="86">
        <v>0.13</v>
      </c>
      <c r="C17"/>
    </row>
    <row r="18" spans="1:3" ht="15">
      <c r="A18" s="84" t="s">
        <v>266</v>
      </c>
      <c r="B18" s="86">
        <v>0.12</v>
      </c>
      <c r="C18"/>
    </row>
    <row r="19" spans="1:3" ht="15">
      <c r="A19" s="84" t="s">
        <v>267</v>
      </c>
      <c r="B19" s="86">
        <v>0.04</v>
      </c>
      <c r="C19"/>
    </row>
    <row r="20" spans="1:3" ht="15">
      <c r="A20" s="84" t="s">
        <v>268</v>
      </c>
      <c r="B20" s="86">
        <v>0.03</v>
      </c>
      <c r="C20"/>
    </row>
    <row r="21" spans="1:3" ht="15">
      <c r="A21" s="84" t="s">
        <v>269</v>
      </c>
      <c r="B21" s="86">
        <v>0.04</v>
      </c>
      <c r="C21"/>
    </row>
    <row r="22" spans="1:3" ht="15">
      <c r="A22" s="84" t="s">
        <v>181</v>
      </c>
      <c r="B22"/>
      <c r="C22"/>
    </row>
    <row r="23" spans="1:3" ht="15">
      <c r="A23" s="84" t="s">
        <v>182</v>
      </c>
      <c r="B23" s="86">
        <v>0.01</v>
      </c>
      <c r="C23"/>
    </row>
    <row r="24" spans="1:3" ht="15">
      <c r="A24" s="84"/>
      <c r="B24"/>
      <c r="C24"/>
    </row>
    <row r="25" spans="1:3" ht="15">
      <c r="A25" s="85" t="s">
        <v>183</v>
      </c>
      <c r="B25"/>
      <c r="C25"/>
    </row>
    <row r="26" spans="1:3" ht="15">
      <c r="A26" s="84"/>
      <c r="B26"/>
      <c r="C26"/>
    </row>
    <row r="27" spans="1:3" ht="15">
      <c r="A27" s="84" t="s">
        <v>184</v>
      </c>
      <c r="B27" s="86">
        <v>0.1</v>
      </c>
      <c r="C27"/>
    </row>
    <row r="28" spans="1:3" ht="15">
      <c r="A28" s="84" t="s">
        <v>185</v>
      </c>
      <c r="B28" s="86">
        <v>0.09</v>
      </c>
      <c r="C28"/>
    </row>
    <row r="29" spans="1:3" ht="15">
      <c r="A29" s="84" t="s">
        <v>186</v>
      </c>
      <c r="B29" s="86">
        <v>0.1</v>
      </c>
      <c r="C29"/>
    </row>
    <row r="30" spans="1:3" ht="15">
      <c r="A30" s="84" t="s">
        <v>187</v>
      </c>
      <c r="B30" s="86">
        <v>0.14</v>
      </c>
      <c r="C30"/>
    </row>
    <row r="31" spans="1:3" ht="15">
      <c r="A31" s="84" t="s">
        <v>188</v>
      </c>
      <c r="B31" s="86">
        <v>0.22</v>
      </c>
      <c r="C31"/>
    </row>
    <row r="32" spans="1:3" ht="15">
      <c r="A32" s="84" t="s">
        <v>189</v>
      </c>
      <c r="B32" s="86">
        <v>0.13</v>
      </c>
      <c r="C32"/>
    </row>
    <row r="33" spans="1:3" ht="15">
      <c r="A33" s="84" t="s">
        <v>190</v>
      </c>
      <c r="B33" s="86">
        <v>0.14</v>
      </c>
      <c r="C33"/>
    </row>
    <row r="34" spans="1:3" ht="15">
      <c r="A34" s="84" t="s">
        <v>191</v>
      </c>
      <c r="B34" s="86">
        <v>0.04</v>
      </c>
      <c r="C34"/>
    </row>
    <row r="35" spans="1:3" ht="15">
      <c r="A35" s="84" t="s">
        <v>192</v>
      </c>
      <c r="B35" s="86">
        <v>0.03</v>
      </c>
      <c r="C35"/>
    </row>
    <row r="36" spans="1:3" ht="15">
      <c r="A36" s="85"/>
      <c r="B36"/>
      <c r="C36"/>
    </row>
    <row r="37" spans="1:3" ht="15">
      <c r="A37" s="85" t="s">
        <v>193</v>
      </c>
      <c r="B37"/>
      <c r="C37"/>
    </row>
    <row r="38" spans="1:3" ht="15">
      <c r="A38" s="84"/>
      <c r="B38"/>
      <c r="C38"/>
    </row>
    <row r="39" spans="1:3" ht="15">
      <c r="A39" s="84" t="s">
        <v>194</v>
      </c>
      <c r="B39" s="86">
        <v>0.22</v>
      </c>
      <c r="C39"/>
    </row>
    <row r="40" spans="1:3" ht="15">
      <c r="A40" s="84" t="s">
        <v>195</v>
      </c>
      <c r="B40" s="86">
        <v>0.27</v>
      </c>
      <c r="C40"/>
    </row>
    <row r="41" spans="1:3" ht="15">
      <c r="A41" s="84" t="s">
        <v>196</v>
      </c>
      <c r="B41" s="86">
        <v>0.22</v>
      </c>
      <c r="C41"/>
    </row>
    <row r="42" spans="1:3" ht="15">
      <c r="A42" s="84" t="s">
        <v>197</v>
      </c>
      <c r="B42" s="86">
        <v>0.07</v>
      </c>
      <c r="C42"/>
    </row>
    <row r="43" spans="1:3" ht="15">
      <c r="A43" s="84" t="s">
        <v>198</v>
      </c>
      <c r="B43" s="86">
        <v>0.22</v>
      </c>
      <c r="C43"/>
    </row>
    <row r="44" spans="1:3" ht="15">
      <c r="A44" s="84"/>
      <c r="B44"/>
      <c r="C44"/>
    </row>
    <row r="45" spans="1:3" ht="15">
      <c r="A45" s="84"/>
      <c r="B45"/>
      <c r="C45"/>
    </row>
    <row r="46" spans="1:3" ht="15">
      <c r="A46" s="84"/>
      <c r="B46"/>
      <c r="C46"/>
    </row>
    <row r="47" spans="1:3" ht="15">
      <c r="A47" s="84"/>
      <c r="B47"/>
      <c r="C47"/>
    </row>
    <row r="48" spans="1:3" ht="15">
      <c r="A48" s="85" t="s">
        <v>199</v>
      </c>
      <c r="B48"/>
      <c r="C48"/>
    </row>
    <row r="49" spans="1:3" ht="15">
      <c r="A49" s="84"/>
      <c r="B49"/>
      <c r="C49"/>
    </row>
    <row r="50" spans="1:3" ht="15">
      <c r="A50" s="84" t="s">
        <v>222</v>
      </c>
      <c r="B50"/>
      <c r="C50"/>
    </row>
    <row r="51" spans="1:3" ht="15">
      <c r="A51" s="84"/>
      <c r="B51"/>
      <c r="C51"/>
    </row>
    <row r="52" spans="1:3" ht="15">
      <c r="A52" s="84" t="s">
        <v>223</v>
      </c>
      <c r="B52"/>
      <c r="C52"/>
    </row>
    <row r="53" spans="1:3" ht="15">
      <c r="A53" s="84" t="s">
        <v>224</v>
      </c>
      <c r="B53"/>
      <c r="C53"/>
    </row>
    <row r="54" spans="1:3" ht="15">
      <c r="A54" s="84" t="s">
        <v>225</v>
      </c>
      <c r="B54"/>
      <c r="C54"/>
    </row>
    <row r="55" spans="1:3" ht="15">
      <c r="A55" s="84" t="s">
        <v>201</v>
      </c>
      <c r="B55"/>
      <c r="C55"/>
    </row>
    <row r="56" spans="1:3" ht="15">
      <c r="A56" s="84"/>
      <c r="B56"/>
      <c r="C56"/>
    </row>
    <row r="57" spans="1:3" ht="15">
      <c r="A57" s="84" t="s">
        <v>205</v>
      </c>
      <c r="B57"/>
      <c r="C57"/>
    </row>
    <row r="58" spans="1:3" ht="15">
      <c r="A58" s="84" t="s">
        <v>97</v>
      </c>
      <c r="B58"/>
      <c r="C58"/>
    </row>
    <row r="59" spans="1:3" ht="15">
      <c r="A59" s="84"/>
      <c r="B59"/>
      <c r="C59"/>
    </row>
    <row r="60" spans="1:3" ht="15">
      <c r="A60" s="84"/>
      <c r="B60"/>
      <c r="C60"/>
    </row>
    <row r="61" spans="1:3" ht="15">
      <c r="A61" s="84" t="s">
        <v>89</v>
      </c>
      <c r="B61"/>
      <c r="C61"/>
    </row>
    <row r="62" spans="1:3" ht="15">
      <c r="A62" s="84" t="s">
        <v>232</v>
      </c>
      <c r="B62"/>
      <c r="C62"/>
    </row>
    <row r="63" spans="1:3" ht="15">
      <c r="A63" s="84" t="s">
        <v>233</v>
      </c>
      <c r="B63"/>
      <c r="C63"/>
    </row>
    <row r="64" spans="1:3" ht="15">
      <c r="A64" s="84" t="s">
        <v>98</v>
      </c>
      <c r="B64"/>
      <c r="C64"/>
    </row>
    <row r="65" spans="1:3" ht="15">
      <c r="A65" s="84" t="s">
        <v>99</v>
      </c>
      <c r="B65"/>
      <c r="C65"/>
    </row>
    <row r="66" spans="1:3" ht="15">
      <c r="A66" s="84"/>
      <c r="B66"/>
      <c r="C66"/>
    </row>
    <row r="67" spans="1:3" ht="15">
      <c r="A67" s="84"/>
      <c r="B67"/>
      <c r="C67"/>
    </row>
    <row r="68" spans="1:3" ht="15">
      <c r="A68" s="85" t="s">
        <v>100</v>
      </c>
      <c r="B68"/>
      <c r="C68"/>
    </row>
    <row r="69" spans="1:3" ht="12" customHeight="1">
      <c r="A69" s="84"/>
      <c r="B69"/>
      <c r="C69"/>
    </row>
    <row r="70" spans="1:3" ht="12" customHeight="1">
      <c r="A70" s="84"/>
      <c r="B70"/>
      <c r="C70"/>
    </row>
    <row r="71" spans="1:3" ht="12" customHeight="1">
      <c r="A71" s="84"/>
      <c r="B71"/>
      <c r="C71"/>
    </row>
    <row r="72" spans="1:3" ht="12" customHeight="1">
      <c r="A72" s="84"/>
      <c r="B72"/>
      <c r="C72"/>
    </row>
    <row r="73" spans="1:3" ht="12" customHeight="1">
      <c r="A73" s="84"/>
      <c r="B73"/>
      <c r="C73"/>
    </row>
    <row r="74" spans="1:3" ht="12" customHeight="1">
      <c r="A74" s="84"/>
      <c r="B74"/>
      <c r="C74"/>
    </row>
    <row r="75" spans="1:3" ht="12" customHeight="1">
      <c r="A75" s="84"/>
      <c r="B75"/>
      <c r="C75"/>
    </row>
    <row r="76" spans="1:3" ht="12" customHeight="1">
      <c r="A76" s="84"/>
      <c r="B76"/>
      <c r="C76"/>
    </row>
    <row r="77" spans="1:3" ht="15">
      <c r="A77" s="84"/>
      <c r="B77"/>
      <c r="C77"/>
    </row>
    <row r="78" spans="1:3" ht="15">
      <c r="A78" s="84"/>
      <c r="B78"/>
      <c r="C78"/>
    </row>
    <row r="79" spans="1:3" ht="15">
      <c r="A79" s="84"/>
      <c r="B79"/>
      <c r="C79"/>
    </row>
    <row r="80" spans="1:3" ht="15">
      <c r="A80" s="84"/>
      <c r="B80"/>
      <c r="C80"/>
    </row>
    <row r="81" spans="1:3" ht="15">
      <c r="A81" s="84"/>
      <c r="B81"/>
      <c r="C81"/>
    </row>
    <row r="82" spans="1:3" ht="15">
      <c r="A82" s="84"/>
      <c r="B82"/>
      <c r="C82"/>
    </row>
    <row r="83" spans="1:3" ht="15">
      <c r="A83" s="84"/>
      <c r="B83"/>
      <c r="C83"/>
    </row>
    <row r="84" spans="1:3" ht="15">
      <c r="A84" s="84"/>
      <c r="B84"/>
      <c r="C84"/>
    </row>
    <row r="85" spans="1:3" ht="15">
      <c r="A85" s="84"/>
      <c r="B85"/>
      <c r="C85"/>
    </row>
    <row r="86" spans="1:3" ht="15">
      <c r="A86" s="84"/>
      <c r="B86"/>
      <c r="C86"/>
    </row>
    <row r="87" spans="1:3" ht="15">
      <c r="A87" s="84"/>
      <c r="B87"/>
      <c r="C87"/>
    </row>
    <row r="88" spans="1:3" ht="15">
      <c r="A88" s="85"/>
      <c r="B88"/>
      <c r="C88"/>
    </row>
    <row r="89" spans="1:3" ht="15">
      <c r="A89" s="84"/>
      <c r="B89"/>
      <c r="C89"/>
    </row>
    <row r="90" spans="1:8" ht="12">
      <c r="A90"/>
      <c r="B90"/>
      <c r="C90"/>
      <c r="D90"/>
      <c r="E90"/>
      <c r="F90"/>
      <c r="G90"/>
      <c r="H90"/>
    </row>
    <row r="91" spans="1:8" ht="12">
      <c r="A91"/>
      <c r="B91"/>
      <c r="C91"/>
      <c r="D91"/>
      <c r="E91"/>
      <c r="F91"/>
      <c r="G91"/>
      <c r="H91"/>
    </row>
    <row r="92" spans="1:8" ht="12">
      <c r="A92"/>
      <c r="B92"/>
      <c r="C92"/>
      <c r="D92"/>
      <c r="E92"/>
      <c r="F92"/>
      <c r="G92"/>
      <c r="H92"/>
    </row>
    <row r="93" spans="1:8" ht="12">
      <c r="A93"/>
      <c r="B93"/>
      <c r="C93"/>
      <c r="D93"/>
      <c r="E93"/>
      <c r="F93"/>
      <c r="G93"/>
      <c r="H93"/>
    </row>
    <row r="94" spans="1:8" ht="12">
      <c r="A94"/>
      <c r="B94"/>
      <c r="C94"/>
      <c r="D94"/>
      <c r="E94"/>
      <c r="F94"/>
      <c r="G94"/>
      <c r="H94"/>
    </row>
    <row r="95" spans="1:8" ht="12">
      <c r="A95"/>
      <c r="B95"/>
      <c r="C95"/>
      <c r="D95"/>
      <c r="E95"/>
      <c r="F95"/>
      <c r="G95"/>
      <c r="H95"/>
    </row>
    <row r="96" spans="1:8" ht="12">
      <c r="A96"/>
      <c r="B96"/>
      <c r="C96"/>
      <c r="D96"/>
      <c r="E96"/>
      <c r="F96"/>
      <c r="G96"/>
      <c r="H96"/>
    </row>
    <row r="97" spans="1:8" ht="12">
      <c r="A97"/>
      <c r="B97"/>
      <c r="C97"/>
      <c r="D97"/>
      <c r="E97"/>
      <c r="F97"/>
      <c r="G97"/>
      <c r="H97"/>
    </row>
    <row r="98" spans="1:8" ht="12">
      <c r="A98"/>
      <c r="B98"/>
      <c r="C98"/>
      <c r="D98"/>
      <c r="E98"/>
      <c r="F98"/>
      <c r="G98"/>
      <c r="H98"/>
    </row>
    <row r="99" spans="1:8" ht="12">
      <c r="A99"/>
      <c r="B99"/>
      <c r="C99"/>
      <c r="D99"/>
      <c r="E99"/>
      <c r="F99"/>
      <c r="G99"/>
      <c r="H99"/>
    </row>
    <row r="100" spans="1:8" ht="12">
      <c r="A100"/>
      <c r="B100"/>
      <c r="C100"/>
      <c r="D100"/>
      <c r="E100"/>
      <c r="F100"/>
      <c r="G100"/>
      <c r="H100"/>
    </row>
    <row r="101" spans="1:8" ht="12">
      <c r="A101"/>
      <c r="B101"/>
      <c r="C101"/>
      <c r="D101"/>
      <c r="E101"/>
      <c r="F101"/>
      <c r="G101"/>
      <c r="H101"/>
    </row>
    <row r="102" spans="1:8" ht="12">
      <c r="A102"/>
      <c r="B102"/>
      <c r="C102"/>
      <c r="D102"/>
      <c r="E102"/>
      <c r="F102"/>
      <c r="G102"/>
      <c r="H102"/>
    </row>
    <row r="103" spans="1:8" ht="12">
      <c r="A103"/>
      <c r="B103"/>
      <c r="C103"/>
      <c r="D103"/>
      <c r="E103"/>
      <c r="F103"/>
      <c r="G103"/>
      <c r="H103"/>
    </row>
    <row r="104" spans="1:8" ht="12">
      <c r="A104"/>
      <c r="B104"/>
      <c r="C104"/>
      <c r="D104"/>
      <c r="E104"/>
      <c r="F104"/>
      <c r="G104"/>
      <c r="H104"/>
    </row>
    <row r="105" spans="1:8" ht="12">
      <c r="A105"/>
      <c r="B105"/>
      <c r="C105"/>
      <c r="D105"/>
      <c r="E105"/>
      <c r="F105"/>
      <c r="G105"/>
      <c r="H105"/>
    </row>
    <row r="106" spans="1:8" ht="12">
      <c r="A106"/>
      <c r="B106"/>
      <c r="C106"/>
      <c r="D106"/>
      <c r="E106"/>
      <c r="F106"/>
      <c r="G106"/>
      <c r="H106"/>
    </row>
    <row r="107" spans="1:8" ht="12">
      <c r="A107"/>
      <c r="B107"/>
      <c r="C107"/>
      <c r="D107"/>
      <c r="E107"/>
      <c r="F107"/>
      <c r="G107"/>
      <c r="H107"/>
    </row>
    <row r="108" spans="1:8" ht="12">
      <c r="A108"/>
      <c r="B108"/>
      <c r="C108"/>
      <c r="D108"/>
      <c r="E108"/>
      <c r="F108"/>
      <c r="G108"/>
      <c r="H108"/>
    </row>
    <row r="109" spans="1:8" ht="12">
      <c r="A109"/>
      <c r="B109"/>
      <c r="C109"/>
      <c r="D109"/>
      <c r="E109"/>
      <c r="F109"/>
      <c r="G109"/>
      <c r="H109"/>
    </row>
    <row r="110" spans="1:8" ht="12">
      <c r="A110"/>
      <c r="B110"/>
      <c r="C110"/>
      <c r="D110"/>
      <c r="E110"/>
      <c r="F110"/>
      <c r="G110"/>
      <c r="H110"/>
    </row>
    <row r="111" spans="1:8" ht="12">
      <c r="A111"/>
      <c r="B111"/>
      <c r="C111"/>
      <c r="D111"/>
      <c r="E111"/>
      <c r="F111"/>
      <c r="G111"/>
      <c r="H111"/>
    </row>
    <row r="112" spans="1:8" ht="12">
      <c r="A112"/>
      <c r="B112"/>
      <c r="C112"/>
      <c r="D112"/>
      <c r="E112"/>
      <c r="F112"/>
      <c r="G112"/>
      <c r="H112"/>
    </row>
    <row r="113" spans="1:8" ht="12">
      <c r="A113"/>
      <c r="B113"/>
      <c r="C113"/>
      <c r="D113"/>
      <c r="E113"/>
      <c r="F113"/>
      <c r="G113"/>
      <c r="H113"/>
    </row>
    <row r="114" spans="1:8" ht="12">
      <c r="A114"/>
      <c r="B114"/>
      <c r="C114"/>
      <c r="D114"/>
      <c r="E114"/>
      <c r="F114"/>
      <c r="G114"/>
      <c r="H114"/>
    </row>
    <row r="115" spans="1:8" ht="12">
      <c r="A115"/>
      <c r="B115"/>
      <c r="C115"/>
      <c r="D115"/>
      <c r="E115"/>
      <c r="F115"/>
      <c r="G115"/>
      <c r="H115"/>
    </row>
    <row r="116" spans="1:9" ht="12">
      <c r="A116"/>
      <c r="B116"/>
      <c r="C116"/>
      <c r="D116"/>
      <c r="E116"/>
      <c r="F116"/>
      <c r="G116"/>
      <c r="H116"/>
      <c r="I116"/>
    </row>
    <row r="117" spans="1:9" ht="12">
      <c r="A117"/>
      <c r="B117"/>
      <c r="C117"/>
      <c r="D117"/>
      <c r="E117"/>
      <c r="F117"/>
      <c r="G117"/>
      <c r="H117"/>
      <c r="I117"/>
    </row>
    <row r="118" spans="1:9" ht="12.75" customHeight="1">
      <c r="A118"/>
      <c r="B118"/>
      <c r="C118"/>
      <c r="D118"/>
      <c r="E118"/>
      <c r="F118"/>
      <c r="G118"/>
      <c r="H118"/>
      <c r="I118"/>
    </row>
    <row r="119" spans="1:9" ht="12.75" customHeight="1">
      <c r="A119"/>
      <c r="B119"/>
      <c r="C119"/>
      <c r="D119"/>
      <c r="E119"/>
      <c r="F119"/>
      <c r="G119"/>
      <c r="H119"/>
      <c r="I119"/>
    </row>
    <row r="120" spans="1:9" ht="12.75" customHeight="1">
      <c r="A120"/>
      <c r="B120"/>
      <c r="C120"/>
      <c r="D120"/>
      <c r="E120"/>
      <c r="F120"/>
      <c r="G120"/>
      <c r="H120"/>
      <c r="I120"/>
    </row>
    <row r="121" spans="1:9" ht="12">
      <c r="A121"/>
      <c r="B121"/>
      <c r="C121"/>
      <c r="D121"/>
      <c r="E121"/>
      <c r="F121"/>
      <c r="G121"/>
      <c r="H121"/>
      <c r="I121"/>
    </row>
    <row r="122" spans="1:9" ht="12">
      <c r="A122"/>
      <c r="B122"/>
      <c r="C122"/>
      <c r="D122"/>
      <c r="E122"/>
      <c r="F122"/>
      <c r="G122"/>
      <c r="H122"/>
      <c r="I122"/>
    </row>
    <row r="123" spans="1:9" ht="12">
      <c r="A123"/>
      <c r="B123"/>
      <c r="C123"/>
      <c r="D123"/>
      <c r="E123"/>
      <c r="F123"/>
      <c r="G123"/>
      <c r="H123"/>
      <c r="I123"/>
    </row>
    <row r="124" spans="1:9" ht="12">
      <c r="A124"/>
      <c r="B124"/>
      <c r="C124"/>
      <c r="D124"/>
      <c r="E124"/>
      <c r="F124"/>
      <c r="G124"/>
      <c r="H124"/>
      <c r="I124"/>
    </row>
    <row r="125" spans="1:9" ht="12">
      <c r="A125"/>
      <c r="B125"/>
      <c r="C125"/>
      <c r="D125"/>
      <c r="E125"/>
      <c r="F125"/>
      <c r="G125"/>
      <c r="H125"/>
      <c r="I125"/>
    </row>
    <row r="126" spans="1:9" ht="12">
      <c r="A126"/>
      <c r="B126"/>
      <c r="C126"/>
      <c r="D126"/>
      <c r="E126"/>
      <c r="F126"/>
      <c r="G126"/>
      <c r="H126"/>
      <c r="I126"/>
    </row>
    <row r="127" spans="1:9" ht="12">
      <c r="A127"/>
      <c r="B127"/>
      <c r="C127"/>
      <c r="D127"/>
      <c r="E127"/>
      <c r="F127"/>
      <c r="G127"/>
      <c r="H127"/>
      <c r="I127"/>
    </row>
    <row r="128" spans="1:9" ht="12">
      <c r="A128"/>
      <c r="B128"/>
      <c r="C128"/>
      <c r="D128"/>
      <c r="E128"/>
      <c r="F128"/>
      <c r="G128"/>
      <c r="H128"/>
      <c r="I128"/>
    </row>
    <row r="129" spans="1:9" ht="12">
      <c r="A129"/>
      <c r="B129"/>
      <c r="C129"/>
      <c r="D129"/>
      <c r="E129"/>
      <c r="F129"/>
      <c r="G129"/>
      <c r="H129"/>
      <c r="I129"/>
    </row>
    <row r="130" spans="1:9" ht="12.75" customHeight="1">
      <c r="A130"/>
      <c r="B130"/>
      <c r="C130"/>
      <c r="D130"/>
      <c r="E130"/>
      <c r="F130"/>
      <c r="G130"/>
      <c r="H130"/>
      <c r="I130"/>
    </row>
    <row r="131" spans="1:9" ht="12.75" customHeight="1">
      <c r="A131"/>
      <c r="B131"/>
      <c r="C131"/>
      <c r="D131"/>
      <c r="E131"/>
      <c r="F131"/>
      <c r="G131"/>
      <c r="H131"/>
      <c r="I131"/>
    </row>
    <row r="132" spans="1:9" ht="12.75" customHeight="1">
      <c r="A132"/>
      <c r="B132"/>
      <c r="C132"/>
      <c r="D132"/>
      <c r="E132"/>
      <c r="F132"/>
      <c r="G132"/>
      <c r="H132"/>
      <c r="I132"/>
    </row>
    <row r="133" spans="1:9" ht="12.75" customHeight="1">
      <c r="A133"/>
      <c r="B133"/>
      <c r="C133"/>
      <c r="D133"/>
      <c r="E133"/>
      <c r="F133"/>
      <c r="G133"/>
      <c r="H133"/>
      <c r="I133"/>
    </row>
    <row r="134" spans="1:9" ht="12.75" customHeight="1">
      <c r="A134"/>
      <c r="B134"/>
      <c r="C134"/>
      <c r="D134"/>
      <c r="E134"/>
      <c r="F134"/>
      <c r="G134"/>
      <c r="H134"/>
      <c r="I134"/>
    </row>
    <row r="135" spans="1:9" ht="12.75" customHeight="1">
      <c r="A135"/>
      <c r="B135"/>
      <c r="C135"/>
      <c r="D135"/>
      <c r="E135"/>
      <c r="F135"/>
      <c r="G135"/>
      <c r="H135"/>
      <c r="I135"/>
    </row>
    <row r="136" spans="1:9" ht="12.75" customHeight="1">
      <c r="A136"/>
      <c r="B136"/>
      <c r="C136"/>
      <c r="D136"/>
      <c r="E136"/>
      <c r="F136"/>
      <c r="G136"/>
      <c r="H136"/>
      <c r="I136"/>
    </row>
    <row r="137" spans="1:9" ht="12.75" customHeight="1">
      <c r="A137"/>
      <c r="B137"/>
      <c r="C137"/>
      <c r="D137"/>
      <c r="E137"/>
      <c r="F137"/>
      <c r="G137"/>
      <c r="H137"/>
      <c r="I137"/>
    </row>
    <row r="138" spans="1:9" ht="12">
      <c r="A138"/>
      <c r="B138"/>
      <c r="C138"/>
      <c r="D138"/>
      <c r="E138"/>
      <c r="F138"/>
      <c r="G138"/>
      <c r="H138"/>
      <c r="I138"/>
    </row>
    <row r="139" spans="1:9" ht="12">
      <c r="A139"/>
      <c r="B139"/>
      <c r="C139"/>
      <c r="D139"/>
      <c r="E139"/>
      <c r="F139"/>
      <c r="G139"/>
      <c r="H139"/>
      <c r="I139"/>
    </row>
    <row r="140" spans="1:9" ht="12">
      <c r="A140"/>
      <c r="B140"/>
      <c r="C140"/>
      <c r="D140"/>
      <c r="E140"/>
      <c r="F140"/>
      <c r="G140"/>
      <c r="H140"/>
      <c r="I140"/>
    </row>
    <row r="141" spans="1:9" ht="12">
      <c r="A141"/>
      <c r="B141"/>
      <c r="C141"/>
      <c r="D141"/>
      <c r="E141"/>
      <c r="F141"/>
      <c r="G141"/>
      <c r="H141"/>
      <c r="I141"/>
    </row>
    <row r="142" spans="1:9" ht="12">
      <c r="A142"/>
      <c r="B142"/>
      <c r="C142"/>
      <c r="D142"/>
      <c r="E142"/>
      <c r="F142"/>
      <c r="G142"/>
      <c r="H142"/>
      <c r="I142"/>
    </row>
    <row r="143" spans="1:9" ht="12">
      <c r="A143"/>
      <c r="B143"/>
      <c r="C143"/>
      <c r="D143"/>
      <c r="E143"/>
      <c r="F143"/>
      <c r="G143"/>
      <c r="H143"/>
      <c r="I143"/>
    </row>
    <row r="144" spans="1:9" ht="12">
      <c r="A144"/>
      <c r="B144"/>
      <c r="C144"/>
      <c r="D144"/>
      <c r="E144"/>
      <c r="F144"/>
      <c r="G144"/>
      <c r="H144"/>
      <c r="I144"/>
    </row>
    <row r="145" spans="1:9" ht="12">
      <c r="A145"/>
      <c r="B145"/>
      <c r="C145"/>
      <c r="D145"/>
      <c r="E145"/>
      <c r="F145"/>
      <c r="G145"/>
      <c r="H145"/>
      <c r="I145"/>
    </row>
    <row r="146" spans="1:9" ht="12">
      <c r="A146"/>
      <c r="B146"/>
      <c r="C146"/>
      <c r="D146"/>
      <c r="E146"/>
      <c r="F146"/>
      <c r="G146"/>
      <c r="H146"/>
      <c r="I146"/>
    </row>
    <row r="147" spans="1:9" ht="12">
      <c r="A147"/>
      <c r="B147"/>
      <c r="C147"/>
      <c r="D147"/>
      <c r="E147"/>
      <c r="F147"/>
      <c r="G147"/>
      <c r="H147"/>
      <c r="I147"/>
    </row>
    <row r="148" spans="1:9" ht="12">
      <c r="A148"/>
      <c r="B148"/>
      <c r="C148"/>
      <c r="D148"/>
      <c r="E148"/>
      <c r="F148"/>
      <c r="G148"/>
      <c r="H148"/>
      <c r="I148"/>
    </row>
    <row r="149" spans="1:9" ht="12">
      <c r="A149"/>
      <c r="B149"/>
      <c r="C149"/>
      <c r="D149"/>
      <c r="E149"/>
      <c r="F149"/>
      <c r="G149"/>
      <c r="H149"/>
      <c r="I149"/>
    </row>
    <row r="150" spans="1:9" ht="12">
      <c r="A150"/>
      <c r="B150"/>
      <c r="C150"/>
      <c r="D150"/>
      <c r="E150"/>
      <c r="F150"/>
      <c r="G150"/>
      <c r="H150"/>
      <c r="I150"/>
    </row>
    <row r="151" spans="1:9" ht="12">
      <c r="A151"/>
      <c r="B151"/>
      <c r="C151"/>
      <c r="D151"/>
      <c r="E151"/>
      <c r="F151"/>
      <c r="G151"/>
      <c r="H151"/>
      <c r="I151"/>
    </row>
    <row r="152" spans="1:9" ht="12">
      <c r="A152"/>
      <c r="B152"/>
      <c r="C152"/>
      <c r="D152"/>
      <c r="E152"/>
      <c r="F152"/>
      <c r="G152"/>
      <c r="H152"/>
      <c r="I152"/>
    </row>
    <row r="153" spans="1:9" ht="12">
      <c r="A153"/>
      <c r="B153"/>
      <c r="C153"/>
      <c r="D153"/>
      <c r="E153"/>
      <c r="F153"/>
      <c r="G153"/>
      <c r="H153"/>
      <c r="I153"/>
    </row>
    <row r="154" spans="1:9" ht="12">
      <c r="A154"/>
      <c r="B154"/>
      <c r="C154"/>
      <c r="D154"/>
      <c r="E154"/>
      <c r="F154"/>
      <c r="G154"/>
      <c r="H154"/>
      <c r="I154"/>
    </row>
    <row r="155" spans="1:9" ht="12">
      <c r="A155"/>
      <c r="B155"/>
      <c r="C155"/>
      <c r="D155"/>
      <c r="E155"/>
      <c r="F155"/>
      <c r="G155"/>
      <c r="H155"/>
      <c r="I155"/>
    </row>
    <row r="156" spans="1:9" ht="12">
      <c r="A156"/>
      <c r="B156"/>
      <c r="C156"/>
      <c r="D156"/>
      <c r="E156"/>
      <c r="F156"/>
      <c r="G156"/>
      <c r="H156"/>
      <c r="I156"/>
    </row>
    <row r="157" spans="1:9" ht="12">
      <c r="A157"/>
      <c r="B157"/>
      <c r="C157"/>
      <c r="D157"/>
      <c r="E157"/>
      <c r="F157"/>
      <c r="G157"/>
      <c r="H157"/>
      <c r="I157"/>
    </row>
    <row r="158" spans="1:9" ht="12">
      <c r="A158"/>
      <c r="B158"/>
      <c r="C158"/>
      <c r="D158"/>
      <c r="E158"/>
      <c r="F158"/>
      <c r="G158"/>
      <c r="H158"/>
      <c r="I158"/>
    </row>
    <row r="159" spans="1:9" ht="12">
      <c r="A159"/>
      <c r="B159"/>
      <c r="C159"/>
      <c r="D159"/>
      <c r="E159"/>
      <c r="F159"/>
      <c r="G159"/>
      <c r="H159"/>
      <c r="I159"/>
    </row>
    <row r="160" spans="1:9" ht="12">
      <c r="A160"/>
      <c r="B160"/>
      <c r="C160"/>
      <c r="D160"/>
      <c r="E160"/>
      <c r="F160"/>
      <c r="G160"/>
      <c r="H160"/>
      <c r="I160"/>
    </row>
    <row r="161" spans="1:9" ht="12">
      <c r="A161"/>
      <c r="B161"/>
      <c r="C161"/>
      <c r="D161"/>
      <c r="E161"/>
      <c r="F161"/>
      <c r="G161"/>
      <c r="H161"/>
      <c r="I161"/>
    </row>
    <row r="162" spans="1:3" ht="15">
      <c r="A162"/>
      <c r="B162" s="84"/>
      <c r="C162"/>
    </row>
  </sheetData>
  <sheetProtection/>
  <printOptions/>
  <pageMargins left="0.33" right="0.75" top="0.5" bottom="1" header="0.5" footer="0.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D15" sqref="D15"/>
    </sheetView>
  </sheetViews>
  <sheetFormatPr defaultColWidth="11.421875" defaultRowHeight="12.75"/>
  <cols>
    <col min="1" max="16384" width="8.8515625" style="0" customWidth="1"/>
  </cols>
  <sheetData>
    <row r="1" spans="1:9" ht="15">
      <c r="A1" s="85" t="s">
        <v>155</v>
      </c>
      <c r="D1" s="3"/>
      <c r="E1" s="3"/>
      <c r="F1" s="3"/>
      <c r="G1" s="3"/>
      <c r="H1" s="3"/>
      <c r="I1" s="3"/>
    </row>
    <row r="2" spans="1:9" ht="15">
      <c r="A2" s="84"/>
      <c r="D2" s="3"/>
      <c r="E2" s="3"/>
      <c r="F2" s="3"/>
      <c r="G2" s="3"/>
      <c r="H2" s="3"/>
      <c r="I2" s="3"/>
    </row>
    <row r="3" spans="1:9" ht="15">
      <c r="A3" s="84" t="s">
        <v>156</v>
      </c>
      <c r="D3" s="3"/>
      <c r="E3" s="3"/>
      <c r="F3" s="3"/>
      <c r="G3" s="3"/>
      <c r="H3" s="3"/>
      <c r="I3" s="3"/>
    </row>
    <row r="4" spans="1:9" ht="15">
      <c r="A4" s="84"/>
      <c r="D4" s="3"/>
      <c r="E4" s="3"/>
      <c r="F4" s="3"/>
      <c r="G4" s="3"/>
      <c r="H4" s="3"/>
      <c r="I4" s="3"/>
    </row>
    <row r="5" spans="2:9" ht="15">
      <c r="B5" s="84" t="s">
        <v>157</v>
      </c>
      <c r="C5" s="86">
        <v>0.24</v>
      </c>
      <c r="D5" s="3"/>
      <c r="E5" s="3"/>
      <c r="F5" s="3"/>
      <c r="G5" s="3"/>
      <c r="H5" s="3"/>
      <c r="I5" s="3"/>
    </row>
    <row r="6" spans="2:9" ht="15">
      <c r="B6" s="84" t="s">
        <v>158</v>
      </c>
      <c r="C6" s="86">
        <v>0.36</v>
      </c>
      <c r="D6" s="3"/>
      <c r="E6" s="3"/>
      <c r="F6" s="3"/>
      <c r="G6" s="3"/>
      <c r="H6" s="3"/>
      <c r="I6" s="3"/>
    </row>
    <row r="7" spans="2:9" ht="15">
      <c r="B7" s="84" t="s">
        <v>159</v>
      </c>
      <c r="D7" s="3"/>
      <c r="E7" s="3"/>
      <c r="F7" s="3"/>
      <c r="G7" s="3"/>
      <c r="H7" s="3"/>
      <c r="I7" s="3"/>
    </row>
    <row r="8" spans="2:9" ht="15">
      <c r="B8" s="84" t="s">
        <v>126</v>
      </c>
      <c r="D8" s="3"/>
      <c r="E8" s="3"/>
      <c r="F8" s="3"/>
      <c r="G8" s="3"/>
      <c r="H8" s="3"/>
      <c r="I8" s="3"/>
    </row>
    <row r="9" spans="2:9" ht="15">
      <c r="B9" s="84" t="s">
        <v>234</v>
      </c>
      <c r="D9" s="3"/>
      <c r="E9" s="3"/>
      <c r="F9" s="3"/>
      <c r="G9" s="3"/>
      <c r="H9" s="3"/>
      <c r="I9" s="3"/>
    </row>
    <row r="10" spans="2:9" ht="15">
      <c r="B10" s="84" t="s">
        <v>235</v>
      </c>
      <c r="D10" s="3"/>
      <c r="E10" s="3"/>
      <c r="F10" s="3"/>
      <c r="G10" s="3"/>
      <c r="H10" s="3"/>
      <c r="I10" s="3"/>
    </row>
    <row r="11" spans="2:9" ht="15">
      <c r="B11" s="84" t="s">
        <v>236</v>
      </c>
      <c r="D11" s="3"/>
      <c r="E11" s="3"/>
      <c r="F11" s="3"/>
      <c r="G11" s="3"/>
      <c r="H11" s="3"/>
      <c r="I11" s="3"/>
    </row>
    <row r="12" spans="1:9" ht="15">
      <c r="A12" s="84"/>
      <c r="D12" s="3"/>
      <c r="E12" s="3"/>
      <c r="F12" s="3"/>
      <c r="G12" s="3"/>
      <c r="H12" s="3"/>
      <c r="I12" s="3"/>
    </row>
    <row r="13" spans="1:9" ht="15">
      <c r="A13" s="84" t="s">
        <v>160</v>
      </c>
      <c r="D13" s="3"/>
      <c r="E13" s="3"/>
      <c r="F13" s="3"/>
      <c r="G13" s="3"/>
      <c r="H13" s="3"/>
      <c r="I13" s="3"/>
    </row>
    <row r="14" spans="1:9" ht="15">
      <c r="A14" s="84"/>
      <c r="D14" s="3"/>
      <c r="E14" s="3"/>
      <c r="F14" s="3"/>
      <c r="G14" s="3"/>
      <c r="H14" s="3"/>
      <c r="I14" s="3"/>
    </row>
    <row r="15" spans="2:9" ht="15">
      <c r="B15" s="84" t="s">
        <v>161</v>
      </c>
      <c r="D15" s="3"/>
      <c r="E15" s="3"/>
      <c r="F15" s="3"/>
      <c r="G15" s="3"/>
      <c r="H15" s="3"/>
      <c r="I15" s="3"/>
    </row>
    <row r="16" spans="2:9" ht="15">
      <c r="B16" s="84" t="s">
        <v>162</v>
      </c>
      <c r="D16" s="3"/>
      <c r="E16" s="3"/>
      <c r="F16" s="3"/>
      <c r="G16" s="3"/>
      <c r="H16" s="3"/>
      <c r="I16" s="3"/>
    </row>
    <row r="17" spans="2:9" ht="15">
      <c r="B17" s="84" t="s">
        <v>163</v>
      </c>
      <c r="D17" s="3"/>
      <c r="E17" s="3"/>
      <c r="F17" s="3"/>
      <c r="G17" s="3"/>
      <c r="H17" s="3"/>
      <c r="I17" s="3"/>
    </row>
    <row r="18" spans="2:9" ht="15">
      <c r="B18" s="84" t="s">
        <v>244</v>
      </c>
      <c r="D18" s="3"/>
      <c r="E18" s="3"/>
      <c r="F18" s="3"/>
      <c r="G18" s="3"/>
      <c r="H18" s="3"/>
      <c r="I18" s="3"/>
    </row>
    <row r="19" spans="2:9" ht="15">
      <c r="B19" s="84" t="s">
        <v>153</v>
      </c>
      <c r="D19" s="3"/>
      <c r="E19" s="3"/>
      <c r="F19" s="3"/>
      <c r="G19" s="3"/>
      <c r="H19" s="3"/>
      <c r="I19" s="3"/>
    </row>
    <row r="20" spans="2:9" ht="15">
      <c r="B20" s="84" t="s">
        <v>164</v>
      </c>
      <c r="D20" s="3"/>
      <c r="E20" s="3"/>
      <c r="F20" s="3"/>
      <c r="G20" s="3"/>
      <c r="H20" s="3"/>
      <c r="I20" s="3"/>
    </row>
    <row r="21" spans="2:9" ht="15">
      <c r="B21" s="84" t="s">
        <v>165</v>
      </c>
      <c r="D21" s="3"/>
      <c r="E21" s="3"/>
      <c r="F21" s="3"/>
      <c r="G21" s="3"/>
      <c r="H21" s="3"/>
      <c r="I21" s="3"/>
    </row>
    <row r="22" spans="1:9" ht="15">
      <c r="A22" s="84"/>
      <c r="D22" s="3"/>
      <c r="E22" s="3"/>
      <c r="F22" s="3"/>
      <c r="G22" s="3"/>
      <c r="H22" s="3"/>
      <c r="I22" s="3"/>
    </row>
    <row r="23" spans="1:9" ht="15">
      <c r="A23" s="84" t="s">
        <v>166</v>
      </c>
      <c r="D23" s="3"/>
      <c r="E23" s="3"/>
      <c r="F23" s="3"/>
      <c r="G23" s="3"/>
      <c r="H23" s="3"/>
      <c r="I23" s="3"/>
    </row>
    <row r="24" spans="1:9" ht="15">
      <c r="A24" s="84"/>
      <c r="D24" s="3"/>
      <c r="E24" s="3"/>
      <c r="F24" s="3"/>
      <c r="G24" s="3"/>
      <c r="H24" s="3"/>
      <c r="I24" s="3"/>
    </row>
    <row r="25" spans="2:9" ht="15">
      <c r="B25" s="84" t="s">
        <v>162</v>
      </c>
      <c r="D25" s="3"/>
      <c r="E25" s="3"/>
      <c r="F25" s="3"/>
      <c r="G25" s="3"/>
      <c r="H25" s="3"/>
      <c r="I25" s="3"/>
    </row>
    <row r="26" spans="2:9" ht="15">
      <c r="B26" s="84" t="s">
        <v>167</v>
      </c>
      <c r="D26" s="3"/>
      <c r="E26" s="3"/>
      <c r="F26" s="3"/>
      <c r="G26" s="3"/>
      <c r="H26" s="3"/>
      <c r="I26" s="3"/>
    </row>
    <row r="27" spans="2:9" ht="15">
      <c r="B27" s="84" t="s">
        <v>246</v>
      </c>
      <c r="D27" s="3"/>
      <c r="E27" s="3"/>
      <c r="F27" s="3"/>
      <c r="G27" s="3"/>
      <c r="H27" s="3"/>
      <c r="I27" s="3"/>
    </row>
    <row r="28" spans="2:9" ht="15">
      <c r="B28" s="84" t="s">
        <v>154</v>
      </c>
      <c r="D28" s="3"/>
      <c r="E28" s="3"/>
      <c r="F28" s="3"/>
      <c r="G28" s="3"/>
      <c r="H28" s="3"/>
      <c r="I28" s="3"/>
    </row>
    <row r="29" spans="2:9" ht="15">
      <c r="B29" s="84" t="s">
        <v>168</v>
      </c>
      <c r="D29" s="3"/>
      <c r="E29" s="3"/>
      <c r="F29" s="3"/>
      <c r="G29" s="3"/>
      <c r="H29" s="3"/>
      <c r="I29" s="3"/>
    </row>
    <row r="30" spans="2:9" ht="15">
      <c r="B30" s="84" t="s">
        <v>245</v>
      </c>
      <c r="D30" s="3"/>
      <c r="E30" s="3"/>
      <c r="F30" s="3"/>
      <c r="G30" s="3"/>
      <c r="H30" s="3"/>
      <c r="I30"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46"/>
  <sheetViews>
    <sheetView zoomScalePageLayoutView="0" workbookViewId="0" topLeftCell="A1">
      <selection activeCell="D29" sqref="D29"/>
    </sheetView>
  </sheetViews>
  <sheetFormatPr defaultColWidth="9.140625" defaultRowHeight="12.75"/>
  <cols>
    <col min="1" max="16384" width="9.140625" style="3" customWidth="1"/>
  </cols>
  <sheetData>
    <row r="1" spans="1:10" ht="23.25" customHeight="1">
      <c r="A1"/>
      <c r="B1"/>
      <c r="C1"/>
      <c r="D1"/>
      <c r="E1"/>
      <c r="F1"/>
      <c r="G1"/>
      <c r="H1"/>
      <c r="J1" s="1"/>
    </row>
    <row r="2" spans="1:8" ht="12">
      <c r="A2"/>
      <c r="B2"/>
      <c r="C2"/>
      <c r="D2"/>
      <c r="E2"/>
      <c r="F2"/>
      <c r="G2"/>
      <c r="H2"/>
    </row>
    <row r="3" spans="1:3" ht="15">
      <c r="A3" s="84"/>
      <c r="B3"/>
      <c r="C3"/>
    </row>
    <row r="4" spans="1:3" ht="15">
      <c r="A4" s="85" t="s">
        <v>252</v>
      </c>
      <c r="B4"/>
      <c r="C4"/>
    </row>
    <row r="5" spans="1:3" ht="13.5">
      <c r="A5" s="87"/>
      <c r="B5"/>
      <c r="C5"/>
    </row>
    <row r="6" spans="1:3" ht="13.5">
      <c r="A6" s="87"/>
      <c r="B6"/>
      <c r="C6"/>
    </row>
    <row r="7" spans="1:3" ht="15">
      <c r="A7" s="88" t="s">
        <v>125</v>
      </c>
      <c r="B7"/>
      <c r="C7"/>
    </row>
    <row r="8" spans="1:3" ht="15">
      <c r="A8" s="88"/>
      <c r="B8"/>
      <c r="C8"/>
    </row>
    <row r="9" spans="1:3" ht="15">
      <c r="A9" s="88"/>
      <c r="B9"/>
      <c r="C9"/>
    </row>
    <row r="10" spans="1:3" ht="15">
      <c r="A10" s="88"/>
      <c r="B10"/>
      <c r="C10"/>
    </row>
    <row r="11" spans="1:3" ht="15">
      <c r="A11" s="88"/>
      <c r="B11"/>
      <c r="C11"/>
    </row>
    <row r="12" spans="1:3" ht="15">
      <c r="A12" s="88"/>
      <c r="B12"/>
      <c r="C12"/>
    </row>
    <row r="13" spans="1:3" ht="15">
      <c r="A13" s="88"/>
      <c r="B13"/>
      <c r="C13"/>
    </row>
    <row r="14" spans="1:3" ht="15">
      <c r="A14" s="89"/>
      <c r="B14"/>
      <c r="C14"/>
    </row>
    <row r="15" spans="1:3" ht="15">
      <c r="A15" s="84" t="s">
        <v>229</v>
      </c>
      <c r="B15"/>
      <c r="C15"/>
    </row>
    <row r="16" spans="1:3" ht="15">
      <c r="A16" s="84"/>
      <c r="B16"/>
      <c r="C16"/>
    </row>
    <row r="17" spans="1:3" ht="15">
      <c r="A17" s="84"/>
      <c r="B17"/>
      <c r="C17"/>
    </row>
    <row r="18" spans="1:3" ht="15">
      <c r="A18" s="84"/>
      <c r="B18"/>
      <c r="C18"/>
    </row>
    <row r="19" spans="1:3" ht="15">
      <c r="A19" s="84"/>
      <c r="B19"/>
      <c r="C19"/>
    </row>
    <row r="20" spans="1:3" ht="15">
      <c r="A20" s="84"/>
      <c r="B20"/>
      <c r="C20"/>
    </row>
    <row r="21" spans="1:3" ht="15">
      <c r="A21" s="84"/>
      <c r="B21"/>
      <c r="C21"/>
    </row>
    <row r="22" spans="1:3" ht="15">
      <c r="A22" s="84"/>
      <c r="B22"/>
      <c r="C22"/>
    </row>
    <row r="23" spans="1:3" ht="15">
      <c r="A23" s="84"/>
      <c r="B23"/>
      <c r="C23"/>
    </row>
    <row r="24" spans="1:3" ht="15">
      <c r="A24" s="84" t="s">
        <v>230</v>
      </c>
      <c r="B24"/>
      <c r="C24"/>
    </row>
    <row r="25" spans="1:3" ht="15">
      <c r="A25" s="84"/>
      <c r="B25"/>
      <c r="C25"/>
    </row>
    <row r="26" spans="1:3" ht="15">
      <c r="A26" s="84"/>
      <c r="B26"/>
      <c r="C26"/>
    </row>
    <row r="27" spans="1:3" ht="15">
      <c r="A27" s="84"/>
      <c r="B27"/>
      <c r="C27"/>
    </row>
    <row r="28" spans="1:3" ht="15">
      <c r="A28" s="84"/>
      <c r="B28"/>
      <c r="C28"/>
    </row>
    <row r="29" spans="1:3" ht="15">
      <c r="A29" s="84"/>
      <c r="B29"/>
      <c r="C29"/>
    </row>
    <row r="30" spans="1:3" ht="15">
      <c r="A30" s="84"/>
      <c r="B30"/>
      <c r="C30"/>
    </row>
    <row r="31" spans="1:3" ht="15">
      <c r="A31" s="84"/>
      <c r="B31"/>
      <c r="C31"/>
    </row>
    <row r="32" spans="1:3" ht="15">
      <c r="A32" s="84" t="s">
        <v>231</v>
      </c>
      <c r="B32"/>
      <c r="C32"/>
    </row>
    <row r="33" spans="1:3" ht="15">
      <c r="A33" s="84"/>
      <c r="B33"/>
      <c r="C33"/>
    </row>
    <row r="34" spans="1:3" ht="15">
      <c r="A34" s="84"/>
      <c r="B34"/>
      <c r="C34"/>
    </row>
    <row r="35" spans="1:3" ht="15">
      <c r="A35" s="84"/>
      <c r="B35"/>
      <c r="C35"/>
    </row>
    <row r="36" spans="1:3" ht="15">
      <c r="A36" s="84"/>
      <c r="B36"/>
      <c r="C36"/>
    </row>
    <row r="37" spans="1:3" ht="15">
      <c r="A37" s="84"/>
      <c r="B37"/>
      <c r="C37"/>
    </row>
    <row r="38" spans="1:3" ht="15">
      <c r="A38" s="84"/>
      <c r="B38"/>
      <c r="C38"/>
    </row>
    <row r="39" spans="1:3" ht="15">
      <c r="A39" s="84"/>
      <c r="B39"/>
      <c r="C39"/>
    </row>
    <row r="40" spans="1:3" ht="15">
      <c r="A40" s="84"/>
      <c r="B40"/>
      <c r="C40"/>
    </row>
    <row r="41" spans="1:3" ht="15">
      <c r="A41" s="85"/>
      <c r="B41"/>
      <c r="C41"/>
    </row>
    <row r="42" spans="1:3" ht="15">
      <c r="A42" s="84"/>
      <c r="B42"/>
      <c r="C42"/>
    </row>
    <row r="43" spans="1:3" ht="15">
      <c r="A43" s="84"/>
      <c r="B43"/>
      <c r="C43"/>
    </row>
    <row r="44" spans="1:3" ht="15">
      <c r="A44"/>
      <c r="B44" s="84"/>
      <c r="C44"/>
    </row>
    <row r="45" spans="1:3" ht="15">
      <c r="A45" s="84"/>
      <c r="B45"/>
      <c r="C45"/>
    </row>
    <row r="46" spans="1:3" ht="15">
      <c r="A46" s="84"/>
      <c r="B46"/>
      <c r="C46"/>
    </row>
  </sheetData>
  <sheetProtection/>
  <printOptions/>
  <pageMargins left="0.28" right="0.75" top="0.5" bottom="1" header="0.5" footer="0.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sheetPr>
    <pageSetUpPr fitToPage="1"/>
  </sheetPr>
  <dimension ref="A1:T66"/>
  <sheetViews>
    <sheetView zoomScalePageLayoutView="0" workbookViewId="0" topLeftCell="A1">
      <selection activeCell="B67" sqref="B67"/>
    </sheetView>
  </sheetViews>
  <sheetFormatPr defaultColWidth="11.421875" defaultRowHeight="14.25" customHeight="1"/>
  <cols>
    <col min="1" max="1" width="25.28125" style="3" bestFit="1" customWidth="1"/>
    <col min="2" max="2" width="69.8515625" style="3" bestFit="1" customWidth="1"/>
    <col min="3" max="3" width="93.140625" style="3" bestFit="1" customWidth="1"/>
    <col min="4" max="5" width="9.28125" style="3" bestFit="1" customWidth="1"/>
    <col min="6" max="7" width="8.140625" style="3" bestFit="1" customWidth="1"/>
    <col min="8" max="8" width="9.28125" style="3" bestFit="1" customWidth="1"/>
    <col min="9" max="9" width="18.7109375" style="3" bestFit="1" customWidth="1"/>
    <col min="10" max="10" width="5.8515625" style="3" bestFit="1" customWidth="1"/>
    <col min="11" max="16384" width="9.140625" style="3" customWidth="1"/>
  </cols>
  <sheetData>
    <row r="1" spans="1:12" ht="14.25" customHeight="1">
      <c r="A1" t="s">
        <v>96</v>
      </c>
      <c r="B1"/>
      <c r="C1"/>
      <c r="D1"/>
      <c r="E1"/>
      <c r="F1"/>
      <c r="G1"/>
      <c r="H1"/>
      <c r="I1"/>
      <c r="J1"/>
      <c r="K1"/>
      <c r="L1"/>
    </row>
    <row r="2" spans="1:12" ht="14.25" customHeight="1">
      <c r="A2" t="s">
        <v>72</v>
      </c>
      <c r="B2"/>
      <c r="C2"/>
      <c r="D2"/>
      <c r="E2"/>
      <c r="F2"/>
      <c r="G2"/>
      <c r="H2"/>
      <c r="I2"/>
      <c r="J2"/>
      <c r="K2"/>
      <c r="L2"/>
    </row>
    <row r="3" spans="1:12" s="51" customFormat="1" ht="14.25" customHeight="1">
      <c r="A3" t="s">
        <v>6</v>
      </c>
      <c r="B3" t="s">
        <v>7</v>
      </c>
      <c r="C3"/>
      <c r="D3"/>
      <c r="E3"/>
      <c r="F3"/>
      <c r="G3"/>
      <c r="H3"/>
      <c r="I3"/>
      <c r="J3"/>
      <c r="K3"/>
      <c r="L3"/>
    </row>
    <row r="4" spans="1:12" s="51" customFormat="1" ht="14.25" customHeight="1">
      <c r="A4"/>
      <c r="B4"/>
      <c r="C4"/>
      <c r="D4"/>
      <c r="E4"/>
      <c r="F4"/>
      <c r="G4"/>
      <c r="H4"/>
      <c r="I4"/>
      <c r="J4"/>
      <c r="K4"/>
      <c r="L4"/>
    </row>
    <row r="5" spans="1:12" s="51" customFormat="1" ht="14.25" customHeight="1">
      <c r="A5" t="s">
        <v>1</v>
      </c>
      <c r="B5" t="s">
        <v>2</v>
      </c>
      <c r="C5" t="s">
        <v>3</v>
      </c>
      <c r="D5"/>
      <c r="E5"/>
      <c r="F5"/>
      <c r="G5"/>
      <c r="H5"/>
      <c r="I5"/>
      <c r="J5"/>
      <c r="K5"/>
      <c r="L5"/>
    </row>
    <row r="6" spans="1:12" s="51" customFormat="1" ht="14.25" customHeight="1">
      <c r="A6" t="s">
        <v>4</v>
      </c>
      <c r="B6" t="s">
        <v>73</v>
      </c>
      <c r="C6"/>
      <c r="D6"/>
      <c r="E6"/>
      <c r="F6"/>
      <c r="G6"/>
      <c r="H6"/>
      <c r="I6"/>
      <c r="J6"/>
      <c r="K6"/>
      <c r="L6"/>
    </row>
    <row r="7" spans="1:12" s="51" customFormat="1" ht="14.25" customHeight="1">
      <c r="A7" t="s">
        <v>83</v>
      </c>
      <c r="B7" t="s">
        <v>74</v>
      </c>
      <c r="C7" t="s">
        <v>270</v>
      </c>
      <c r="D7"/>
      <c r="E7"/>
      <c r="F7"/>
      <c r="G7"/>
      <c r="H7"/>
      <c r="I7"/>
      <c r="J7"/>
      <c r="K7"/>
      <c r="L7"/>
    </row>
    <row r="8" spans="1:12" s="51" customFormat="1" ht="14.25" customHeight="1">
      <c r="A8" t="s">
        <v>84</v>
      </c>
      <c r="B8" t="s">
        <v>202</v>
      </c>
      <c r="C8"/>
      <c r="D8"/>
      <c r="E8"/>
      <c r="F8"/>
      <c r="G8"/>
      <c r="H8"/>
      <c r="I8"/>
      <c r="J8"/>
      <c r="K8"/>
      <c r="L8"/>
    </row>
    <row r="9" spans="1:12" s="51" customFormat="1" ht="14.25" customHeight="1">
      <c r="A9" t="s">
        <v>85</v>
      </c>
      <c r="B9" t="s">
        <v>203</v>
      </c>
      <c r="C9" t="s">
        <v>152</v>
      </c>
      <c r="D9"/>
      <c r="E9"/>
      <c r="F9"/>
      <c r="G9"/>
      <c r="H9"/>
      <c r="I9"/>
      <c r="J9"/>
      <c r="K9"/>
      <c r="L9"/>
    </row>
    <row r="10" spans="1:12" s="51" customFormat="1" ht="14.25" customHeight="1">
      <c r="A10" t="s">
        <v>86</v>
      </c>
      <c r="B10" t="s">
        <v>204</v>
      </c>
      <c r="C10" t="s">
        <v>226</v>
      </c>
      <c r="D10"/>
      <c r="E10"/>
      <c r="F10"/>
      <c r="G10"/>
      <c r="H10"/>
      <c r="I10"/>
      <c r="J10"/>
      <c r="K10"/>
      <c r="L10"/>
    </row>
    <row r="11" spans="1:12" s="51" customFormat="1" ht="14.25" customHeight="1">
      <c r="A11" t="s">
        <v>87</v>
      </c>
      <c r="B11" t="s">
        <v>150</v>
      </c>
      <c r="C11" t="s">
        <v>271</v>
      </c>
      <c r="D11"/>
      <c r="E11"/>
      <c r="F11"/>
      <c r="G11"/>
      <c r="H11"/>
      <c r="I11"/>
      <c r="J11"/>
      <c r="K11"/>
      <c r="L11"/>
    </row>
    <row r="12" spans="1:12" s="51" customFormat="1" ht="14.25" customHeight="1">
      <c r="A12" t="s">
        <v>88</v>
      </c>
      <c r="B12"/>
      <c r="C12"/>
      <c r="D12"/>
      <c r="E12"/>
      <c r="F12"/>
      <c r="G12"/>
      <c r="H12"/>
      <c r="I12"/>
      <c r="J12"/>
      <c r="K12"/>
      <c r="L12"/>
    </row>
    <row r="13" spans="1:12" s="51" customFormat="1" ht="14.25" customHeight="1">
      <c r="A13" t="s">
        <v>129</v>
      </c>
      <c r="B13" t="s">
        <v>151</v>
      </c>
      <c r="C13"/>
      <c r="D13"/>
      <c r="E13"/>
      <c r="F13"/>
      <c r="G13"/>
      <c r="H13"/>
      <c r="I13"/>
      <c r="J13"/>
      <c r="K13"/>
      <c r="L13"/>
    </row>
    <row r="14" spans="1:12" s="51" customFormat="1" ht="14.25" customHeight="1">
      <c r="A14" t="s">
        <v>13</v>
      </c>
      <c r="B14"/>
      <c r="C14"/>
      <c r="D14"/>
      <c r="E14"/>
      <c r="F14"/>
      <c r="G14"/>
      <c r="H14"/>
      <c r="I14"/>
      <c r="J14"/>
      <c r="K14"/>
      <c r="L14"/>
    </row>
    <row r="15" spans="1:12" ht="14.25" customHeight="1">
      <c r="A15" t="s">
        <v>14</v>
      </c>
      <c r="B15"/>
      <c r="C15"/>
      <c r="D15"/>
      <c r="E15"/>
      <c r="F15"/>
      <c r="G15"/>
      <c r="H15"/>
      <c r="I15"/>
      <c r="J15"/>
      <c r="K15"/>
      <c r="L15"/>
    </row>
    <row r="16" spans="1:12" ht="14.25" customHeight="1">
      <c r="A16" t="s">
        <v>169</v>
      </c>
      <c r="B16" s="90">
        <v>0.142</v>
      </c>
      <c r="C16" s="90">
        <v>-0.025</v>
      </c>
      <c r="D16"/>
      <c r="E16"/>
      <c r="F16"/>
      <c r="G16"/>
      <c r="H16"/>
      <c r="I16"/>
      <c r="J16"/>
      <c r="K16"/>
      <c r="L16"/>
    </row>
    <row r="17" spans="1:12" ht="14.25" customHeight="1">
      <c r="A17" t="s">
        <v>5</v>
      </c>
      <c r="B17" s="90">
        <v>0.117</v>
      </c>
      <c r="C17"/>
      <c r="D17"/>
      <c r="E17"/>
      <c r="F17"/>
      <c r="G17"/>
      <c r="H17"/>
      <c r="I17"/>
      <c r="J17"/>
      <c r="K17"/>
      <c r="L17"/>
    </row>
    <row r="18" spans="1:12" ht="14.25" customHeight="1">
      <c r="A18"/>
      <c r="B18"/>
      <c r="C18"/>
      <c r="D18"/>
      <c r="E18"/>
      <c r="F18"/>
      <c r="G18"/>
      <c r="H18"/>
      <c r="I18"/>
      <c r="J18"/>
      <c r="K18"/>
      <c r="L18"/>
    </row>
    <row r="19" ht="14.25" customHeight="1"/>
    <row r="20" spans="1:12" ht="14.25" customHeight="1">
      <c r="A20"/>
      <c r="B20"/>
      <c r="C20"/>
      <c r="D20"/>
      <c r="E20"/>
      <c r="F20"/>
      <c r="G20"/>
      <c r="H20"/>
      <c r="I20"/>
      <c r="J20"/>
      <c r="K20"/>
      <c r="L20"/>
    </row>
    <row r="21" spans="1:12" ht="14.25" customHeight="1">
      <c r="A21"/>
      <c r="B21"/>
      <c r="C21"/>
      <c r="D21"/>
      <c r="E21"/>
      <c r="F21"/>
      <c r="G21"/>
      <c r="H21"/>
      <c r="I21"/>
      <c r="J21"/>
      <c r="K21"/>
      <c r="L21"/>
    </row>
    <row r="22" spans="1:12" ht="14.25" customHeight="1">
      <c r="A22"/>
      <c r="B22"/>
      <c r="C22"/>
      <c r="D22"/>
      <c r="E22"/>
      <c r="F22"/>
      <c r="G22"/>
      <c r="H22"/>
      <c r="I22"/>
      <c r="J22"/>
      <c r="K22"/>
      <c r="L22"/>
    </row>
    <row r="23" spans="1:12" ht="14.25" customHeight="1">
      <c r="A23"/>
      <c r="B23"/>
      <c r="C23"/>
      <c r="D23"/>
      <c r="E23"/>
      <c r="F23"/>
      <c r="G23"/>
      <c r="H23"/>
      <c r="I23"/>
      <c r="J23"/>
      <c r="K23"/>
      <c r="L23"/>
    </row>
    <row r="24" spans="1:12" ht="14.25" customHeight="1">
      <c r="A24"/>
      <c r="B24"/>
      <c r="C24"/>
      <c r="D24"/>
      <c r="E24"/>
      <c r="F24"/>
      <c r="G24"/>
      <c r="H24"/>
      <c r="I24"/>
      <c r="J24"/>
      <c r="K24"/>
      <c r="L24"/>
    </row>
    <row r="25" spans="1:12" ht="14.25" customHeight="1">
      <c r="A25"/>
      <c r="B25"/>
      <c r="C25"/>
      <c r="D25"/>
      <c r="E25"/>
      <c r="F25"/>
      <c r="G25"/>
      <c r="H25"/>
      <c r="I25"/>
      <c r="J25"/>
      <c r="K25"/>
      <c r="L25"/>
    </row>
    <row r="26" spans="1:12" ht="14.25" customHeight="1">
      <c r="A26"/>
      <c r="B26"/>
      <c r="C26"/>
      <c r="D26"/>
      <c r="E26"/>
      <c r="F26"/>
      <c r="G26"/>
      <c r="H26"/>
      <c r="I26"/>
      <c r="J26"/>
      <c r="K26"/>
      <c r="L26"/>
    </row>
    <row r="27" spans="1:20" ht="14.25" customHeight="1">
      <c r="A27"/>
      <c r="B27"/>
      <c r="C27"/>
      <c r="D27"/>
      <c r="E27"/>
      <c r="F27"/>
      <c r="G27"/>
      <c r="H27"/>
      <c r="I27"/>
      <c r="J27"/>
      <c r="K27"/>
      <c r="L27"/>
      <c r="N27"/>
      <c r="O27"/>
      <c r="P27"/>
      <c r="Q27"/>
      <c r="R27"/>
      <c r="S27"/>
      <c r="T27"/>
    </row>
    <row r="28" spans="1:20" ht="14.25" customHeight="1">
      <c r="A28"/>
      <c r="B28"/>
      <c r="C28"/>
      <c r="D28"/>
      <c r="E28"/>
      <c r="F28"/>
      <c r="G28"/>
      <c r="H28"/>
      <c r="I28"/>
      <c r="J28"/>
      <c r="K28"/>
      <c r="L28"/>
      <c r="N28"/>
      <c r="O28"/>
      <c r="P28"/>
      <c r="Q28"/>
      <c r="R28"/>
      <c r="S28"/>
      <c r="T28"/>
    </row>
    <row r="29" spans="1:20" ht="14.25" customHeight="1">
      <c r="A29"/>
      <c r="B29"/>
      <c r="C29"/>
      <c r="D29"/>
      <c r="E29"/>
      <c r="F29"/>
      <c r="G29"/>
      <c r="H29"/>
      <c r="I29"/>
      <c r="J29"/>
      <c r="K29"/>
      <c r="L29"/>
      <c r="N29"/>
      <c r="O29"/>
      <c r="P29"/>
      <c r="Q29"/>
      <c r="R29"/>
      <c r="S29"/>
      <c r="T29"/>
    </row>
    <row r="30" spans="1:20" ht="14.25" customHeight="1">
      <c r="A30"/>
      <c r="B30"/>
      <c r="C30"/>
      <c r="D30"/>
      <c r="E30"/>
      <c r="F30"/>
      <c r="G30"/>
      <c r="H30"/>
      <c r="I30"/>
      <c r="J30"/>
      <c r="K30"/>
      <c r="L30"/>
      <c r="N30"/>
      <c r="O30"/>
      <c r="P30"/>
      <c r="Q30"/>
      <c r="R30"/>
      <c r="S30"/>
      <c r="T30"/>
    </row>
    <row r="31" spans="1:20" ht="14.25" customHeight="1">
      <c r="A31"/>
      <c r="B31"/>
      <c r="C31"/>
      <c r="D31"/>
      <c r="E31"/>
      <c r="F31"/>
      <c r="G31"/>
      <c r="H31"/>
      <c r="I31"/>
      <c r="J31"/>
      <c r="K31"/>
      <c r="L31"/>
      <c r="N31"/>
      <c r="O31"/>
      <c r="P31"/>
      <c r="Q31"/>
      <c r="R31"/>
      <c r="S31"/>
      <c r="T31"/>
    </row>
    <row r="32" spans="1:20" ht="14.25" customHeight="1">
      <c r="A32"/>
      <c r="B32"/>
      <c r="C32"/>
      <c r="D32"/>
      <c r="E32"/>
      <c r="F32"/>
      <c r="G32"/>
      <c r="H32"/>
      <c r="I32"/>
      <c r="J32"/>
      <c r="K32"/>
      <c r="L32"/>
      <c r="M32"/>
      <c r="N32"/>
      <c r="O32"/>
      <c r="P32"/>
      <c r="Q32"/>
      <c r="R32"/>
      <c r="S32"/>
      <c r="T32"/>
    </row>
    <row r="33" spans="1:20" ht="14.25" customHeight="1">
      <c r="A33"/>
      <c r="B33"/>
      <c r="C33"/>
      <c r="D33"/>
      <c r="E33"/>
      <c r="F33"/>
      <c r="G33"/>
      <c r="H33"/>
      <c r="I33"/>
      <c r="J33"/>
      <c r="K33"/>
      <c r="L33"/>
      <c r="M33"/>
      <c r="N33"/>
      <c r="O33"/>
      <c r="P33"/>
      <c r="Q33"/>
      <c r="R33"/>
      <c r="S33"/>
      <c r="T33"/>
    </row>
    <row r="34" spans="1:20" ht="14.25" customHeight="1">
      <c r="A34"/>
      <c r="B34"/>
      <c r="C34"/>
      <c r="D34"/>
      <c r="E34"/>
      <c r="F34"/>
      <c r="G34"/>
      <c r="H34"/>
      <c r="I34"/>
      <c r="J34"/>
      <c r="K34"/>
      <c r="L34"/>
      <c r="M34"/>
      <c r="N34"/>
      <c r="O34"/>
      <c r="P34"/>
      <c r="Q34"/>
      <c r="R34"/>
      <c r="S34"/>
      <c r="T34"/>
    </row>
    <row r="35" spans="1:19" ht="14.25" customHeight="1">
      <c r="A35"/>
      <c r="B35"/>
      <c r="C35"/>
      <c r="D35"/>
      <c r="E35"/>
      <c r="F35"/>
      <c r="G35"/>
      <c r="H35"/>
      <c r="I35"/>
      <c r="J35"/>
      <c r="K35"/>
      <c r="L35"/>
      <c r="M35"/>
      <c r="N35"/>
      <c r="O35"/>
      <c r="P35"/>
      <c r="Q35"/>
      <c r="R35"/>
      <c r="S35"/>
    </row>
    <row r="36" spans="1:19" ht="14.25" customHeight="1">
      <c r="A36"/>
      <c r="B36"/>
      <c r="C36"/>
      <c r="D36"/>
      <c r="E36"/>
      <c r="F36"/>
      <c r="G36"/>
      <c r="H36"/>
      <c r="I36"/>
      <c r="J36"/>
      <c r="K36"/>
      <c r="L36"/>
      <c r="M36"/>
      <c r="N36"/>
      <c r="O36"/>
      <c r="P36"/>
      <c r="Q36"/>
      <c r="R36"/>
      <c r="S36"/>
    </row>
    <row r="37" spans="1:19" ht="14.25" customHeight="1">
      <c r="A37"/>
      <c r="B37"/>
      <c r="C37"/>
      <c r="D37"/>
      <c r="E37"/>
      <c r="F37"/>
      <c r="G37"/>
      <c r="H37"/>
      <c r="I37"/>
      <c r="J37"/>
      <c r="K37"/>
      <c r="L37"/>
      <c r="M37"/>
      <c r="N37"/>
      <c r="O37"/>
      <c r="P37"/>
      <c r="Q37"/>
      <c r="R37"/>
      <c r="S37"/>
    </row>
    <row r="38" spans="1:19" ht="14.25" customHeight="1">
      <c r="A38"/>
      <c r="B38"/>
      <c r="C38"/>
      <c r="D38"/>
      <c r="E38"/>
      <c r="F38"/>
      <c r="G38"/>
      <c r="H38"/>
      <c r="I38"/>
      <c r="J38"/>
      <c r="K38"/>
      <c r="L38"/>
      <c r="M38"/>
      <c r="N38"/>
      <c r="O38"/>
      <c r="P38"/>
      <c r="Q38"/>
      <c r="R38"/>
      <c r="S38"/>
    </row>
    <row r="39" spans="1:19" ht="14.25" customHeight="1">
      <c r="A39"/>
      <c r="B39"/>
      <c r="C39"/>
      <c r="D39"/>
      <c r="E39"/>
      <c r="F39"/>
      <c r="G39"/>
      <c r="H39"/>
      <c r="I39"/>
      <c r="J39"/>
      <c r="K39"/>
      <c r="L39"/>
      <c r="M39"/>
      <c r="N39"/>
      <c r="O39"/>
      <c r="P39"/>
      <c r="Q39"/>
      <c r="R39"/>
      <c r="S39"/>
    </row>
    <row r="40" spans="1:19" ht="14.25" customHeight="1">
      <c r="A40"/>
      <c r="B40"/>
      <c r="C40"/>
      <c r="D40"/>
      <c r="E40"/>
      <c r="F40"/>
      <c r="G40"/>
      <c r="H40"/>
      <c r="I40"/>
      <c r="J40"/>
      <c r="K40"/>
      <c r="L40"/>
      <c r="M40"/>
      <c r="N40"/>
      <c r="O40"/>
      <c r="P40"/>
      <c r="Q40"/>
      <c r="R40"/>
      <c r="S40"/>
    </row>
    <row r="41" spans="1:19" ht="14.25" customHeight="1">
      <c r="A41"/>
      <c r="B41"/>
      <c r="C41"/>
      <c r="D41"/>
      <c r="E41"/>
      <c r="F41"/>
      <c r="G41"/>
      <c r="H41"/>
      <c r="I41"/>
      <c r="J41"/>
      <c r="K41"/>
      <c r="L41"/>
      <c r="M41"/>
      <c r="N41"/>
      <c r="O41"/>
      <c r="P41"/>
      <c r="Q41"/>
      <c r="R41"/>
      <c r="S41"/>
    </row>
    <row r="42" spans="1:19" ht="14.25" customHeight="1">
      <c r="A42"/>
      <c r="B42"/>
      <c r="C42"/>
      <c r="D42"/>
      <c r="E42"/>
      <c r="F42"/>
      <c r="G42"/>
      <c r="H42"/>
      <c r="I42"/>
      <c r="J42"/>
      <c r="K42"/>
      <c r="L42"/>
      <c r="M42"/>
      <c r="N42"/>
      <c r="O42"/>
      <c r="P42"/>
      <c r="Q42"/>
      <c r="R42"/>
      <c r="S42"/>
    </row>
    <row r="43" spans="1:19" ht="14.25" customHeight="1">
      <c r="A43"/>
      <c r="B43"/>
      <c r="C43"/>
      <c r="D43"/>
      <c r="E43"/>
      <c r="F43"/>
      <c r="G43"/>
      <c r="H43"/>
      <c r="I43"/>
      <c r="J43"/>
      <c r="K43"/>
      <c r="L43"/>
      <c r="M43"/>
      <c r="N43"/>
      <c r="O43"/>
      <c r="P43"/>
      <c r="Q43"/>
      <c r="R43"/>
      <c r="S43"/>
    </row>
    <row r="44" spans="1:19" ht="14.25" customHeight="1">
      <c r="A44"/>
      <c r="B44"/>
      <c r="C44"/>
      <c r="D44"/>
      <c r="E44"/>
      <c r="F44"/>
      <c r="G44"/>
      <c r="H44"/>
      <c r="I44"/>
      <c r="J44"/>
      <c r="K44"/>
      <c r="L44"/>
      <c r="M44"/>
      <c r="N44"/>
      <c r="O44"/>
      <c r="P44"/>
      <c r="Q44"/>
      <c r="R44"/>
      <c r="S44"/>
    </row>
    <row r="45" spans="1:19" ht="14.25" customHeight="1">
      <c r="A45"/>
      <c r="B45"/>
      <c r="C45"/>
      <c r="D45"/>
      <c r="E45"/>
      <c r="F45"/>
      <c r="G45"/>
      <c r="H45"/>
      <c r="I45"/>
      <c r="J45"/>
      <c r="K45"/>
      <c r="L45"/>
      <c r="M45"/>
      <c r="N45"/>
      <c r="O45"/>
      <c r="P45"/>
      <c r="Q45"/>
      <c r="R45"/>
      <c r="S45"/>
    </row>
    <row r="46" spans="1:19" ht="14.25" customHeight="1">
      <c r="A46"/>
      <c r="B46"/>
      <c r="C46"/>
      <c r="D46"/>
      <c r="E46"/>
      <c r="F46"/>
      <c r="G46"/>
      <c r="H46"/>
      <c r="I46"/>
      <c r="J46"/>
      <c r="K46"/>
      <c r="L46"/>
      <c r="M46"/>
      <c r="N46"/>
      <c r="O46"/>
      <c r="P46"/>
      <c r="Q46"/>
      <c r="R46"/>
      <c r="S46"/>
    </row>
    <row r="47" ht="14.25" customHeight="1"/>
    <row r="48" spans="1:19" ht="14.25" customHeight="1">
      <c r="A48"/>
      <c r="B48"/>
      <c r="C48"/>
      <c r="D48"/>
      <c r="E48"/>
      <c r="F48"/>
      <c r="G48"/>
      <c r="H48"/>
      <c r="I48"/>
      <c r="J48"/>
      <c r="K48"/>
      <c r="L48"/>
      <c r="M48"/>
      <c r="N48"/>
      <c r="O48"/>
      <c r="P48"/>
      <c r="Q48"/>
      <c r="R48"/>
      <c r="S48"/>
    </row>
    <row r="49" spans="1:14" ht="14.25" customHeight="1">
      <c r="A49"/>
      <c r="B49"/>
      <c r="C49"/>
      <c r="D49"/>
      <c r="E49"/>
      <c r="F49"/>
      <c r="G49"/>
      <c r="H49"/>
      <c r="I49"/>
      <c r="J49"/>
      <c r="K49"/>
      <c r="L49"/>
      <c r="M49"/>
      <c r="N49"/>
    </row>
    <row r="50" spans="1:14" ht="14.25" customHeight="1">
      <c r="A50"/>
      <c r="B50"/>
      <c r="C50"/>
      <c r="D50"/>
      <c r="E50"/>
      <c r="F50"/>
      <c r="G50"/>
      <c r="H50"/>
      <c r="I50"/>
      <c r="J50"/>
      <c r="K50"/>
      <c r="L50"/>
      <c r="M50"/>
      <c r="N50"/>
    </row>
    <row r="51" spans="1:14" ht="14.25" customHeight="1">
      <c r="A51"/>
      <c r="B51"/>
      <c r="C51"/>
      <c r="D51"/>
      <c r="E51"/>
      <c r="F51"/>
      <c r="G51"/>
      <c r="H51"/>
      <c r="I51"/>
      <c r="J51"/>
      <c r="K51"/>
      <c r="L51"/>
      <c r="M51"/>
      <c r="N51"/>
    </row>
    <row r="52" spans="1:12" ht="14.25" customHeight="1">
      <c r="A52"/>
      <c r="B52"/>
      <c r="C52"/>
      <c r="D52"/>
      <c r="E52"/>
      <c r="F52"/>
      <c r="G52"/>
      <c r="H52"/>
      <c r="I52"/>
      <c r="J52"/>
      <c r="K52"/>
      <c r="L52"/>
    </row>
    <row r="53" spans="1:12" ht="14.25" customHeight="1">
      <c r="A53"/>
      <c r="B53"/>
      <c r="C53"/>
      <c r="D53"/>
      <c r="E53"/>
      <c r="F53"/>
      <c r="G53"/>
      <c r="H53"/>
      <c r="I53"/>
      <c r="J53"/>
      <c r="K53"/>
      <c r="L53"/>
    </row>
    <row r="54" spans="1:12" ht="14.25" customHeight="1">
      <c r="A54"/>
      <c r="B54"/>
      <c r="C54"/>
      <c r="D54"/>
      <c r="E54"/>
      <c r="F54"/>
      <c r="G54"/>
      <c r="H54"/>
      <c r="I54"/>
      <c r="J54"/>
      <c r="K54"/>
      <c r="L54"/>
    </row>
    <row r="55" spans="1:12" ht="14.25" customHeight="1">
      <c r="A55"/>
      <c r="B55"/>
      <c r="C55"/>
      <c r="D55"/>
      <c r="E55"/>
      <c r="F55"/>
      <c r="G55"/>
      <c r="H55"/>
      <c r="I55"/>
      <c r="J55"/>
      <c r="K55"/>
      <c r="L55"/>
    </row>
    <row r="56" spans="1:12" ht="14.25" customHeight="1">
      <c r="A56"/>
      <c r="B56"/>
      <c r="C56"/>
      <c r="D56"/>
      <c r="E56"/>
      <c r="F56"/>
      <c r="G56"/>
      <c r="H56"/>
      <c r="I56"/>
      <c r="J56"/>
      <c r="K56"/>
      <c r="L56"/>
    </row>
    <row r="57" spans="1:12" ht="14.25" customHeight="1">
      <c r="A57"/>
      <c r="B57"/>
      <c r="C57"/>
      <c r="D57"/>
      <c r="E57"/>
      <c r="F57"/>
      <c r="G57"/>
      <c r="H57"/>
      <c r="I57"/>
      <c r="J57"/>
      <c r="K57"/>
      <c r="L57"/>
    </row>
    <row r="58" spans="1:12" ht="14.25" customHeight="1">
      <c r="A58"/>
      <c r="B58"/>
      <c r="C58"/>
      <c r="D58"/>
      <c r="E58"/>
      <c r="F58"/>
      <c r="G58"/>
      <c r="H58"/>
      <c r="I58"/>
      <c r="J58"/>
      <c r="K58"/>
      <c r="L58"/>
    </row>
    <row r="59" spans="1:12" ht="14.25" customHeight="1">
      <c r="A59"/>
      <c r="B59"/>
      <c r="C59"/>
      <c r="D59"/>
      <c r="E59"/>
      <c r="F59"/>
      <c r="G59"/>
      <c r="H59"/>
      <c r="I59"/>
      <c r="J59"/>
      <c r="K59"/>
      <c r="L59"/>
    </row>
    <row r="60" spans="1:12" ht="14.25" customHeight="1">
      <c r="A60"/>
      <c r="B60"/>
      <c r="C60"/>
      <c r="D60"/>
      <c r="E60"/>
      <c r="F60"/>
      <c r="G60"/>
      <c r="H60"/>
      <c r="I60"/>
      <c r="J60"/>
      <c r="K60"/>
      <c r="L60"/>
    </row>
    <row r="61" spans="1:12" ht="14.25" customHeight="1">
      <c r="A61"/>
      <c r="B61"/>
      <c r="C61"/>
      <c r="D61"/>
      <c r="E61"/>
      <c r="F61"/>
      <c r="G61"/>
      <c r="H61"/>
      <c r="I61"/>
      <c r="J61"/>
      <c r="K61"/>
      <c r="L61"/>
    </row>
    <row r="62" spans="1:12" ht="14.25" customHeight="1">
      <c r="A62"/>
      <c r="B62"/>
      <c r="C62"/>
      <c r="D62"/>
      <c r="E62"/>
      <c r="F62"/>
      <c r="G62"/>
      <c r="H62"/>
      <c r="I62"/>
      <c r="J62"/>
      <c r="K62"/>
      <c r="L62"/>
    </row>
    <row r="63" spans="1:12" ht="14.25" customHeight="1">
      <c r="A63"/>
      <c r="B63"/>
      <c r="C63"/>
      <c r="D63"/>
      <c r="E63"/>
      <c r="F63"/>
      <c r="G63"/>
      <c r="H63"/>
      <c r="I63"/>
      <c r="J63"/>
      <c r="K63"/>
      <c r="L63"/>
    </row>
    <row r="64" spans="1:12" ht="14.25" customHeight="1">
      <c r="A64"/>
      <c r="B64"/>
      <c r="C64"/>
      <c r="D64"/>
      <c r="E64"/>
      <c r="F64"/>
      <c r="G64"/>
      <c r="H64"/>
      <c r="I64"/>
      <c r="J64"/>
      <c r="K64"/>
      <c r="L64"/>
    </row>
    <row r="65" spans="1:12" ht="14.25" customHeight="1">
      <c r="A65"/>
      <c r="B65"/>
      <c r="C65"/>
      <c r="D65"/>
      <c r="E65"/>
      <c r="F65"/>
      <c r="G65"/>
      <c r="H65"/>
      <c r="I65"/>
      <c r="J65"/>
      <c r="K65"/>
      <c r="L65"/>
    </row>
    <row r="66" spans="1:12" ht="14.25" customHeight="1">
      <c r="A66"/>
      <c r="B66"/>
      <c r="C66"/>
      <c r="D66"/>
      <c r="E66"/>
      <c r="F66"/>
      <c r="G66"/>
      <c r="H66"/>
      <c r="I66"/>
      <c r="J66"/>
      <c r="K66"/>
      <c r="L66"/>
    </row>
  </sheetData>
  <sheetProtection/>
  <printOptions/>
  <pageMargins left="0.39" right="0.75" top="0.52"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P71"/>
  <sheetViews>
    <sheetView zoomScalePageLayoutView="0" workbookViewId="0" topLeftCell="A1">
      <selection activeCell="I24" sqref="I24"/>
    </sheetView>
  </sheetViews>
  <sheetFormatPr defaultColWidth="10.00390625" defaultRowHeight="12.75"/>
  <cols>
    <col min="1" max="1" width="25.7109375" style="4" bestFit="1" customWidth="1"/>
    <col min="2" max="2" width="9.00390625" style="4" bestFit="1" customWidth="1"/>
    <col min="3" max="5" width="9.28125" style="4" bestFit="1" customWidth="1"/>
    <col min="6" max="7" width="8.28125" style="4" bestFit="1" customWidth="1"/>
    <col min="8" max="8" width="9.8515625" style="4" bestFit="1" customWidth="1"/>
    <col min="9" max="9" width="18.7109375" style="103" bestFit="1" customWidth="1"/>
    <col min="10" max="10" width="12.00390625" style="4" bestFit="1" customWidth="1"/>
    <col min="11" max="16384" width="10.00390625" style="4" customWidth="1"/>
  </cols>
  <sheetData>
    <row r="1" spans="1:10" ht="31.5" customHeight="1">
      <c r="A1" s="144" t="s">
        <v>215</v>
      </c>
      <c r="B1" s="145"/>
      <c r="C1" s="145"/>
      <c r="D1" s="145"/>
      <c r="E1" s="145"/>
      <c r="F1" s="145"/>
      <c r="G1" s="145"/>
      <c r="H1" s="145"/>
      <c r="I1" s="144"/>
      <c r="J1" s="145"/>
    </row>
    <row r="2" spans="1:14" ht="12.75">
      <c r="A2" s="91"/>
      <c r="B2" s="91"/>
      <c r="C2" s="91"/>
      <c r="D2" s="91"/>
      <c r="E2" s="91"/>
      <c r="F2" s="91"/>
      <c r="G2" s="91"/>
      <c r="H2" s="91"/>
      <c r="I2" s="97"/>
      <c r="J2" s="91"/>
      <c r="K2" s="91"/>
      <c r="L2" s="91"/>
      <c r="M2"/>
      <c r="N2"/>
    </row>
    <row r="3" spans="1:14" ht="12.75">
      <c r="A3" s="92" t="s">
        <v>15</v>
      </c>
      <c r="B3" s="92"/>
      <c r="C3" s="92"/>
      <c r="D3" s="92"/>
      <c r="E3" s="92"/>
      <c r="F3" s="92"/>
      <c r="G3" s="92"/>
      <c r="H3" s="92"/>
      <c r="I3" s="98"/>
      <c r="J3" s="93"/>
      <c r="K3" s="91"/>
      <c r="L3" s="91"/>
      <c r="M3"/>
      <c r="N3"/>
    </row>
    <row r="4" spans="1:14" ht="12.75">
      <c r="A4" s="94" t="s">
        <v>237</v>
      </c>
      <c r="B4" s="94" t="s">
        <v>119</v>
      </c>
      <c r="C4" s="94" t="s">
        <v>120</v>
      </c>
      <c r="D4" s="94" t="s">
        <v>121</v>
      </c>
      <c r="E4" s="94" t="s">
        <v>122</v>
      </c>
      <c r="F4" s="94" t="s">
        <v>123</v>
      </c>
      <c r="G4" s="94" t="s">
        <v>124</v>
      </c>
      <c r="H4" s="94" t="s">
        <v>169</v>
      </c>
      <c r="I4" s="99" t="s">
        <v>53</v>
      </c>
      <c r="J4" s="91"/>
      <c r="K4" s="91"/>
      <c r="L4" s="91"/>
      <c r="M4"/>
      <c r="N4"/>
    </row>
    <row r="5" spans="1:14" s="117" customFormat="1" ht="12.75">
      <c r="A5" s="118" t="s">
        <v>132</v>
      </c>
      <c r="B5" s="118">
        <v>521.56</v>
      </c>
      <c r="C5" s="118">
        <v>588.75</v>
      </c>
      <c r="D5" s="118">
        <v>543.24</v>
      </c>
      <c r="E5" s="118">
        <v>612.56</v>
      </c>
      <c r="F5" s="118">
        <v>362.14</v>
      </c>
      <c r="G5" s="118">
        <v>452.37</v>
      </c>
      <c r="H5" s="118">
        <v>3080.6</v>
      </c>
      <c r="I5" s="119">
        <v>184.3</v>
      </c>
      <c r="J5" s="108">
        <f>H9/H7</f>
        <v>0.2346873806188718</v>
      </c>
      <c r="K5" s="113"/>
      <c r="L5" s="113"/>
      <c r="M5" s="115"/>
      <c r="N5" s="115"/>
    </row>
    <row r="6" spans="1:14" ht="12.75">
      <c r="A6" s="94" t="s">
        <v>227</v>
      </c>
      <c r="B6" s="94">
        <v>4.7</v>
      </c>
      <c r="C6" s="94">
        <v>3.3</v>
      </c>
      <c r="D6" s="94">
        <v>3.6</v>
      </c>
      <c r="E6" s="94">
        <v>3.8</v>
      </c>
      <c r="F6" s="94">
        <v>3.8</v>
      </c>
      <c r="G6" s="94">
        <v>5.1</v>
      </c>
      <c r="H6" s="94">
        <f>SUM(B6:G6)</f>
        <v>24.299999999999997</v>
      </c>
      <c r="I6" s="99"/>
      <c r="J6" s="91"/>
      <c r="K6" s="91"/>
      <c r="L6" s="91"/>
      <c r="M6"/>
      <c r="N6"/>
    </row>
    <row r="7" spans="1:14" s="117" customFormat="1" ht="18" customHeight="1">
      <c r="A7" s="118" t="s">
        <v>133</v>
      </c>
      <c r="B7" s="118">
        <v>110.9</v>
      </c>
      <c r="C7" s="118">
        <v>178.3</v>
      </c>
      <c r="D7" s="118">
        <v>150.9</v>
      </c>
      <c r="E7" s="118">
        <v>161.2</v>
      </c>
      <c r="F7" s="118">
        <v>95.3</v>
      </c>
      <c r="G7" s="118">
        <v>88.7</v>
      </c>
      <c r="H7" s="118">
        <v>785.3</v>
      </c>
      <c r="I7" s="119" t="s">
        <v>54</v>
      </c>
      <c r="J7" s="113"/>
      <c r="K7" s="113"/>
      <c r="L7" s="113"/>
      <c r="M7" s="115"/>
      <c r="N7" s="115"/>
    </row>
    <row r="8" spans="1:14" ht="16.5" customHeight="1">
      <c r="A8" s="94" t="s">
        <v>134</v>
      </c>
      <c r="B8" s="105">
        <f>B7/H7%</f>
        <v>14.121991595568574</v>
      </c>
      <c r="C8" s="94">
        <f>C7/H7%</f>
        <v>22.704698841207183</v>
      </c>
      <c r="D8" s="94">
        <f>D7/H7%</f>
        <v>19.215586400101873</v>
      </c>
      <c r="E8" s="94">
        <f>E7/H7%</f>
        <v>20.527187062269196</v>
      </c>
      <c r="F8" s="94">
        <f>F7/H7%</f>
        <v>12.135489621800586</v>
      </c>
      <c r="G8" s="94">
        <f>G7/H7%</f>
        <v>11.295046479052592</v>
      </c>
      <c r="H8" s="94">
        <f>SUM(B8:G8)</f>
        <v>100</v>
      </c>
      <c r="I8" s="100">
        <v>0.117</v>
      </c>
      <c r="J8" s="91"/>
      <c r="K8" s="91"/>
      <c r="L8" s="91"/>
      <c r="M8"/>
      <c r="N8"/>
    </row>
    <row r="9" spans="1:14" s="117" customFormat="1" ht="18.75" customHeight="1">
      <c r="A9" s="118" t="s">
        <v>135</v>
      </c>
      <c r="B9" s="118">
        <v>16.5</v>
      </c>
      <c r="C9" s="118">
        <v>18.7</v>
      </c>
      <c r="D9" s="118">
        <v>21.3</v>
      </c>
      <c r="E9" s="118">
        <v>28.7</v>
      </c>
      <c r="F9" s="118">
        <v>42.3</v>
      </c>
      <c r="G9" s="118">
        <v>56.8</v>
      </c>
      <c r="H9" s="118">
        <v>184.3</v>
      </c>
      <c r="I9" s="119" t="s">
        <v>55</v>
      </c>
      <c r="J9" s="113"/>
      <c r="K9" s="113"/>
      <c r="L9" s="113"/>
      <c r="M9" s="115"/>
      <c r="N9" s="115"/>
    </row>
    <row r="10" spans="1:14" ht="12.75">
      <c r="A10" s="94" t="s">
        <v>136</v>
      </c>
      <c r="B10" s="106">
        <f>B9/H9</f>
        <v>0.08952794357026586</v>
      </c>
      <c r="C10" s="106">
        <f>C9/H9</f>
        <v>0.10146500271296797</v>
      </c>
      <c r="D10" s="106">
        <f>D9/H9</f>
        <v>0.1155724362452523</v>
      </c>
      <c r="E10" s="106">
        <f>E9/H9</f>
        <v>0.15572436245252305</v>
      </c>
      <c r="F10" s="106">
        <f>F9/H9</f>
        <v>0.22951709169831794</v>
      </c>
      <c r="G10" s="106">
        <f>G9/H9</f>
        <v>0.30819316332067276</v>
      </c>
      <c r="H10" s="106">
        <f>SUM(B10:G10)</f>
        <v>0.9999999999999998</v>
      </c>
      <c r="I10" s="99" t="s">
        <v>241</v>
      </c>
      <c r="J10" s="91" t="s">
        <v>242</v>
      </c>
      <c r="K10" s="91"/>
      <c r="L10" s="91"/>
      <c r="M10"/>
      <c r="N10"/>
    </row>
    <row r="11" spans="1:14" ht="24.75" customHeight="1">
      <c r="A11" s="94" t="s">
        <v>137</v>
      </c>
      <c r="B11" s="94"/>
      <c r="C11" s="94"/>
      <c r="D11" s="94"/>
      <c r="E11" s="94"/>
      <c r="F11" s="94"/>
      <c r="G11" s="94"/>
      <c r="H11" s="94"/>
      <c r="I11" s="132">
        <f>H5/7</f>
        <v>440.0857142857143</v>
      </c>
      <c r="J11" s="91"/>
      <c r="K11" s="91"/>
      <c r="L11" s="91"/>
      <c r="M11"/>
      <c r="N11"/>
    </row>
    <row r="12" spans="1:14" s="117" customFormat="1" ht="19.5" customHeight="1">
      <c r="A12" s="118" t="s">
        <v>138</v>
      </c>
      <c r="B12" s="118">
        <v>588.8</v>
      </c>
      <c r="C12" s="118">
        <v>543.24</v>
      </c>
      <c r="D12" s="118">
        <v>612.56</v>
      </c>
      <c r="E12" s="118">
        <v>362.14</v>
      </c>
      <c r="F12" s="118">
        <v>452.37</v>
      </c>
      <c r="G12" s="118">
        <v>514.11</v>
      </c>
      <c r="H12" s="118">
        <v>3072.82</v>
      </c>
      <c r="I12" s="119" t="s">
        <v>58</v>
      </c>
      <c r="J12" s="113"/>
      <c r="K12" s="113"/>
      <c r="L12" s="113"/>
      <c r="M12" s="115"/>
      <c r="N12" s="115"/>
    </row>
    <row r="13" spans="1:14" ht="16.5" customHeight="1">
      <c r="A13" s="94"/>
      <c r="B13" s="94"/>
      <c r="C13" s="94"/>
      <c r="D13" s="94"/>
      <c r="E13" s="94"/>
      <c r="F13" s="94"/>
      <c r="G13" s="94"/>
      <c r="H13" s="94"/>
      <c r="I13" s="99" t="s">
        <v>56</v>
      </c>
      <c r="J13" s="91" t="s">
        <v>228</v>
      </c>
      <c r="K13" s="91"/>
      <c r="L13" s="91"/>
      <c r="M13"/>
      <c r="N13"/>
    </row>
    <row r="14" spans="1:14" ht="16.5" customHeight="1">
      <c r="A14" s="94"/>
      <c r="B14" s="94"/>
      <c r="C14" s="94"/>
      <c r="D14" s="94"/>
      <c r="E14" s="94"/>
      <c r="F14" s="94"/>
      <c r="G14" s="94"/>
      <c r="H14" s="94"/>
      <c r="I14" s="133">
        <f>H7/I11</f>
        <v>1.7844251119911705</v>
      </c>
      <c r="J14" s="91"/>
      <c r="K14" s="91"/>
      <c r="L14" s="91"/>
      <c r="M14"/>
      <c r="N14"/>
    </row>
    <row r="15" spans="1:14" ht="15" customHeight="1">
      <c r="A15" s="94" t="s">
        <v>49</v>
      </c>
      <c r="B15" s="94" t="s">
        <v>50</v>
      </c>
      <c r="C15" s="94" t="s">
        <v>117</v>
      </c>
      <c r="D15" s="94" t="s">
        <v>118</v>
      </c>
      <c r="E15" s="94"/>
      <c r="F15" s="94"/>
      <c r="G15" s="94"/>
      <c r="H15" s="94"/>
      <c r="I15" s="99" t="s">
        <v>0</v>
      </c>
      <c r="J15" s="91"/>
      <c r="K15" s="91"/>
      <c r="L15" s="91"/>
      <c r="M15"/>
      <c r="N15" s="3"/>
    </row>
    <row r="16" spans="1:14" ht="18.75" customHeight="1">
      <c r="A16" s="94"/>
      <c r="B16" s="95">
        <v>92.3</v>
      </c>
      <c r="C16" s="95">
        <v>125.6</v>
      </c>
      <c r="D16" s="95">
        <v>130.8</v>
      </c>
      <c r="E16" s="94"/>
      <c r="F16" s="94"/>
      <c r="G16" s="94"/>
      <c r="H16" s="94"/>
      <c r="I16" s="99" t="s">
        <v>56</v>
      </c>
      <c r="J16" s="91" t="s">
        <v>57</v>
      </c>
      <c r="K16" s="91"/>
      <c r="L16" s="91"/>
      <c r="M16"/>
      <c r="N16"/>
    </row>
    <row r="17" spans="1:14" ht="12.75">
      <c r="A17" s="91" t="s">
        <v>227</v>
      </c>
      <c r="B17" s="91">
        <v>5.57</v>
      </c>
      <c r="C17" s="91"/>
      <c r="D17" s="91"/>
      <c r="E17" s="91"/>
      <c r="F17" s="94"/>
      <c r="G17" s="91"/>
      <c r="H17" s="91"/>
      <c r="I17" s="97"/>
      <c r="J17" s="91"/>
      <c r="K17" s="91"/>
      <c r="L17" s="91"/>
      <c r="M17"/>
      <c r="N17"/>
    </row>
    <row r="18" spans="1:14" ht="12.75">
      <c r="A18" s="91"/>
      <c r="B18" s="91"/>
      <c r="C18" s="91"/>
      <c r="D18" s="91"/>
      <c r="E18" s="91"/>
      <c r="F18" s="91"/>
      <c r="G18" s="91"/>
      <c r="H18" s="91"/>
      <c r="I18" s="97"/>
      <c r="J18" s="91"/>
      <c r="K18" s="91"/>
      <c r="L18" s="91"/>
      <c r="M18"/>
      <c r="N18"/>
    </row>
    <row r="19" spans="1:14" ht="12.75">
      <c r="A19" s="91"/>
      <c r="B19" s="91"/>
      <c r="C19" s="91"/>
      <c r="D19" s="91"/>
      <c r="E19" s="91"/>
      <c r="F19" s="91"/>
      <c r="G19" s="91"/>
      <c r="H19" s="91"/>
      <c r="I19" s="97"/>
      <c r="J19" s="91"/>
      <c r="K19" s="91"/>
      <c r="L19" s="91"/>
      <c r="M19"/>
      <c r="N19"/>
    </row>
    <row r="20" spans="1:14" ht="12.75">
      <c r="A20" s="91"/>
      <c r="B20" s="91"/>
      <c r="C20" s="91"/>
      <c r="D20" s="91"/>
      <c r="E20" s="91"/>
      <c r="F20" s="91"/>
      <c r="G20" s="91"/>
      <c r="H20" s="91"/>
      <c r="I20" s="97"/>
      <c r="J20" s="91"/>
      <c r="K20" s="91"/>
      <c r="L20" s="91"/>
      <c r="M20"/>
      <c r="N20"/>
    </row>
    <row r="21" spans="1:14" ht="12.75">
      <c r="A21" s="91"/>
      <c r="B21" s="91"/>
      <c r="C21" s="91"/>
      <c r="D21" s="91"/>
      <c r="E21" s="91"/>
      <c r="F21" s="91"/>
      <c r="G21" s="91"/>
      <c r="H21" s="91"/>
      <c r="I21" s="97"/>
      <c r="J21" s="91"/>
      <c r="K21" s="91"/>
      <c r="L21" s="91"/>
      <c r="M21"/>
      <c r="N21"/>
    </row>
    <row r="22" spans="1:14" ht="12.75">
      <c r="A22" s="91" t="s">
        <v>51</v>
      </c>
      <c r="B22" s="91"/>
      <c r="C22" s="91"/>
      <c r="D22" s="91"/>
      <c r="E22" s="91"/>
      <c r="F22" s="91"/>
      <c r="G22" s="91"/>
      <c r="H22" s="91"/>
      <c r="I22" s="97"/>
      <c r="J22" s="91"/>
      <c r="K22" s="91"/>
      <c r="L22" s="91"/>
      <c r="M22"/>
      <c r="N22"/>
    </row>
    <row r="23" spans="1:14" ht="12.75">
      <c r="A23" s="91" t="s">
        <v>16</v>
      </c>
      <c r="B23" s="91" t="s">
        <v>119</v>
      </c>
      <c r="C23" s="91" t="s">
        <v>120</v>
      </c>
      <c r="D23" s="91" t="s">
        <v>121</v>
      </c>
      <c r="E23" s="91" t="s">
        <v>122</v>
      </c>
      <c r="F23" s="91" t="s">
        <v>123</v>
      </c>
      <c r="G23" s="91" t="s">
        <v>124</v>
      </c>
      <c r="H23" s="91" t="s">
        <v>169</v>
      </c>
      <c r="I23" s="97" t="s">
        <v>53</v>
      </c>
      <c r="J23" s="91"/>
      <c r="K23" s="91"/>
      <c r="L23" s="91"/>
      <c r="M23"/>
      <c r="N23"/>
    </row>
    <row r="24" spans="1:14" s="117" customFormat="1" ht="12.75">
      <c r="A24" s="113" t="s">
        <v>132</v>
      </c>
      <c r="B24" s="113">
        <f aca="true" t="shared" si="0" ref="B24:G24">B26*B25</f>
        <v>595.2450142484</v>
      </c>
      <c r="C24" s="113">
        <f t="shared" si="0"/>
        <v>671.94141429426</v>
      </c>
      <c r="D24" s="113">
        <f t="shared" si="0"/>
        <v>620.380196223624</v>
      </c>
      <c r="E24" s="113">
        <f t="shared" si="0"/>
        <v>699.5436201145719</v>
      </c>
      <c r="F24" s="113">
        <f t="shared" si="0"/>
        <v>413.5642336774</v>
      </c>
      <c r="G24" s="113">
        <f t="shared" si="0"/>
        <v>516.604414167</v>
      </c>
      <c r="H24" s="113">
        <f>SUM(B24:G24)</f>
        <v>3517.278892725256</v>
      </c>
      <c r="I24" s="114">
        <f>H26*J24</f>
        <v>210.750961</v>
      </c>
      <c r="J24" s="113">
        <v>0.235</v>
      </c>
      <c r="K24" s="113"/>
      <c r="L24" s="113"/>
      <c r="M24" s="115"/>
      <c r="N24" s="115"/>
    </row>
    <row r="25" spans="1:14" ht="12.75">
      <c r="A25" s="91" t="s">
        <v>227</v>
      </c>
      <c r="B25" s="104">
        <v>4.7</v>
      </c>
      <c r="C25" s="104">
        <v>3.3</v>
      </c>
      <c r="D25" s="104">
        <v>3.6</v>
      </c>
      <c r="E25" s="104">
        <v>3.8</v>
      </c>
      <c r="F25" s="104">
        <v>3.8</v>
      </c>
      <c r="G25" s="104">
        <v>5.1</v>
      </c>
      <c r="H25" s="104">
        <f>SUM(B25:G25)</f>
        <v>24.299999999999997</v>
      </c>
      <c r="I25" s="97"/>
      <c r="J25" s="91"/>
      <c r="K25" s="91"/>
      <c r="L25" s="91"/>
      <c r="M25"/>
      <c r="N25"/>
    </row>
    <row r="26" spans="1:16" s="117" customFormat="1" ht="18">
      <c r="A26" s="113" t="s">
        <v>133</v>
      </c>
      <c r="B26" s="113">
        <f>H26*B27</f>
        <v>126.647875372</v>
      </c>
      <c r="C26" s="113">
        <f>H26*C27</f>
        <v>203.6186103922</v>
      </c>
      <c r="D26" s="113">
        <f>H26*D27</f>
        <v>172.32783228434</v>
      </c>
      <c r="E26" s="113">
        <f>H26*E27</f>
        <v>184.09042634594</v>
      </c>
      <c r="F26" s="113">
        <f>H26*F27</f>
        <v>108.832693073</v>
      </c>
      <c r="G26" s="113">
        <f>H26*G27</f>
        <v>101.29498317</v>
      </c>
      <c r="H26" s="113">
        <f>H7+(H7*I27)</f>
        <v>896.8126</v>
      </c>
      <c r="I26" s="114" t="s">
        <v>54</v>
      </c>
      <c r="J26" s="113"/>
      <c r="K26" s="113"/>
      <c r="L26" s="113"/>
      <c r="M26" s="115"/>
      <c r="N26" s="115"/>
      <c r="O26" s="115"/>
      <c r="P26" s="120"/>
    </row>
    <row r="27" spans="1:16" ht="12.75">
      <c r="A27" s="91" t="s">
        <v>134</v>
      </c>
      <c r="B27" s="96">
        <v>0.14122</v>
      </c>
      <c r="C27" s="96">
        <v>0.227047</v>
      </c>
      <c r="D27" s="96">
        <v>0.1921559</v>
      </c>
      <c r="E27" s="96">
        <v>0.2052719</v>
      </c>
      <c r="F27" s="96">
        <v>0.121355</v>
      </c>
      <c r="G27" s="96">
        <v>0.11295</v>
      </c>
      <c r="H27" s="96">
        <f>SUM(B27:G27)</f>
        <v>0.9999998000000001</v>
      </c>
      <c r="I27" s="101">
        <v>0.142</v>
      </c>
      <c r="J27" s="91"/>
      <c r="K27" s="91"/>
      <c r="L27" s="91"/>
      <c r="M27"/>
      <c r="N27"/>
      <c r="O27"/>
      <c r="P27" s="3"/>
    </row>
    <row r="28" spans="1:16" s="117" customFormat="1" ht="16.5">
      <c r="A28" s="113" t="s">
        <v>135</v>
      </c>
      <c r="B28" s="113">
        <f>H28*B29</f>
        <v>18.967499999999998</v>
      </c>
      <c r="C28" s="113">
        <f>H28*C29</f>
        <v>21.28575</v>
      </c>
      <c r="D28" s="113">
        <f>H28*D29</f>
        <v>24.447000000000003</v>
      </c>
      <c r="E28" s="113">
        <f>H28*E29</f>
        <v>32.877</v>
      </c>
      <c r="F28" s="113">
        <f>H28*F29</f>
        <v>48.472500000000004</v>
      </c>
      <c r="G28" s="113">
        <f>H28*G29</f>
        <v>64.911</v>
      </c>
      <c r="H28" s="113">
        <v>210.75</v>
      </c>
      <c r="I28" s="114" t="s">
        <v>55</v>
      </c>
      <c r="J28" s="113"/>
      <c r="K28" s="113"/>
      <c r="L28" s="113"/>
      <c r="M28" s="115"/>
      <c r="N28" s="115"/>
      <c r="O28" s="115"/>
      <c r="P28" s="116"/>
    </row>
    <row r="29" spans="1:16" ht="16.5">
      <c r="A29" s="91" t="s">
        <v>52</v>
      </c>
      <c r="B29" s="107">
        <v>0.09</v>
      </c>
      <c r="C29" s="107">
        <v>0.101</v>
      </c>
      <c r="D29" s="107">
        <v>0.116</v>
      </c>
      <c r="E29" s="107">
        <v>0.156</v>
      </c>
      <c r="F29" s="107">
        <v>0.23</v>
      </c>
      <c r="G29" s="107">
        <v>0.308</v>
      </c>
      <c r="H29" s="107">
        <v>1</v>
      </c>
      <c r="I29" s="97" t="s">
        <v>241</v>
      </c>
      <c r="J29" s="91" t="s">
        <v>242</v>
      </c>
      <c r="K29" s="91"/>
      <c r="L29" s="91"/>
      <c r="M29"/>
      <c r="N29"/>
      <c r="O29"/>
      <c r="P29" s="51"/>
    </row>
    <row r="30" spans="1:16" s="110" customFormat="1" ht="16.5">
      <c r="A30" s="108" t="s">
        <v>137</v>
      </c>
      <c r="B30" s="108">
        <f aca="true" t="shared" si="1" ref="B30:H30">B31+B26+B28-B24</f>
        <v>222.27036112359997</v>
      </c>
      <c r="C30" s="108">
        <f t="shared" si="1"/>
        <v>173.36294609794004</v>
      </c>
      <c r="D30" s="108">
        <f t="shared" si="1"/>
        <v>275.89463606071604</v>
      </c>
      <c r="E30" s="108">
        <f t="shared" si="1"/>
        <v>-68.9761937686319</v>
      </c>
      <c r="F30" s="108">
        <f t="shared" si="1"/>
        <v>260.34095939559995</v>
      </c>
      <c r="G30" s="108">
        <f t="shared" si="1"/>
        <v>194.347569003</v>
      </c>
      <c r="H30" s="108">
        <f t="shared" si="1"/>
        <v>1057.0297072747444</v>
      </c>
      <c r="I30" s="111">
        <f>H24/7</f>
        <v>502.4684132464651</v>
      </c>
      <c r="J30" s="108"/>
      <c r="K30" s="108"/>
      <c r="L30" s="108"/>
      <c r="M30" s="109"/>
      <c r="N30" s="109"/>
      <c r="O30" s="109"/>
      <c r="P30" s="112"/>
    </row>
    <row r="31" spans="1:16" s="117" customFormat="1" ht="16.5">
      <c r="A31" s="113" t="s">
        <v>138</v>
      </c>
      <c r="B31" s="113">
        <v>671.9</v>
      </c>
      <c r="C31" s="113">
        <v>620.4</v>
      </c>
      <c r="D31" s="113">
        <v>699.5</v>
      </c>
      <c r="E31" s="113">
        <v>413.6</v>
      </c>
      <c r="F31" s="113">
        <v>516.6</v>
      </c>
      <c r="G31" s="113">
        <f>B34*B35</f>
        <v>544.746</v>
      </c>
      <c r="H31" s="113">
        <f>SUM(B31:G31)</f>
        <v>3466.746</v>
      </c>
      <c r="I31" s="114" t="s">
        <v>58</v>
      </c>
      <c r="J31" s="113"/>
      <c r="K31" s="113"/>
      <c r="L31" s="113"/>
      <c r="M31" s="115"/>
      <c r="N31" s="115"/>
      <c r="O31" s="115"/>
      <c r="P31" s="116"/>
    </row>
    <row r="32" spans="1:16" s="117" customFormat="1" ht="16.5">
      <c r="A32" s="113"/>
      <c r="B32" s="113"/>
      <c r="C32" s="113"/>
      <c r="D32" s="113"/>
      <c r="E32" s="113"/>
      <c r="F32" s="113"/>
      <c r="G32" s="113"/>
      <c r="H32" s="113"/>
      <c r="I32" s="114" t="s">
        <v>241</v>
      </c>
      <c r="J32" s="113" t="s">
        <v>242</v>
      </c>
      <c r="K32" s="113"/>
      <c r="L32" s="113"/>
      <c r="M32" s="115"/>
      <c r="N32" s="115"/>
      <c r="O32" s="115"/>
      <c r="P32" s="116"/>
    </row>
    <row r="33" spans="1:16" ht="16.5">
      <c r="A33" s="91" t="s">
        <v>49</v>
      </c>
      <c r="B33" s="91" t="s">
        <v>50</v>
      </c>
      <c r="C33" s="91" t="s">
        <v>117</v>
      </c>
      <c r="D33" s="91" t="s">
        <v>118</v>
      </c>
      <c r="E33" s="91"/>
      <c r="F33" s="91"/>
      <c r="G33" s="91"/>
      <c r="H33" s="91"/>
      <c r="I33" s="134">
        <f>H26/I30</f>
        <v>1.7848138835348155</v>
      </c>
      <c r="J33" s="91"/>
      <c r="K33" s="91"/>
      <c r="L33" s="91"/>
      <c r="M33"/>
      <c r="N33"/>
      <c r="O33"/>
      <c r="P33" s="51"/>
    </row>
    <row r="34" spans="1:16" s="117" customFormat="1" ht="16.5">
      <c r="A34" s="113"/>
      <c r="B34" s="113">
        <v>97.8</v>
      </c>
      <c r="C34" s="113">
        <v>120.4</v>
      </c>
      <c r="D34" s="113">
        <v>129.8</v>
      </c>
      <c r="E34" s="113"/>
      <c r="F34" s="113"/>
      <c r="G34" s="113"/>
      <c r="H34" s="113"/>
      <c r="I34" s="114" t="s">
        <v>0</v>
      </c>
      <c r="J34" s="113"/>
      <c r="K34" s="113"/>
      <c r="L34" s="113"/>
      <c r="M34" s="115"/>
      <c r="N34" s="115"/>
      <c r="O34" s="115"/>
      <c r="P34" s="116"/>
    </row>
    <row r="35" spans="1:16" ht="16.5">
      <c r="A35" s="91" t="s">
        <v>227</v>
      </c>
      <c r="B35" s="91">
        <v>5.57</v>
      </c>
      <c r="C35" s="91"/>
      <c r="D35" s="91"/>
      <c r="E35" s="91"/>
      <c r="F35" s="91"/>
      <c r="G35" s="91"/>
      <c r="H35" s="91"/>
      <c r="I35" s="97" t="s">
        <v>241</v>
      </c>
      <c r="J35" s="91" t="s">
        <v>242</v>
      </c>
      <c r="K35" s="91"/>
      <c r="L35" s="91"/>
      <c r="M35"/>
      <c r="N35"/>
      <c r="O35"/>
      <c r="P35" s="51"/>
    </row>
    <row r="36" spans="1:16" ht="16.5">
      <c r="A36" s="91"/>
      <c r="B36" s="91"/>
      <c r="C36" s="91"/>
      <c r="D36" s="91"/>
      <c r="E36" s="91"/>
      <c r="F36" s="91"/>
      <c r="G36" s="91"/>
      <c r="H36" s="91"/>
      <c r="I36" s="97"/>
      <c r="J36" s="91"/>
      <c r="K36" s="91"/>
      <c r="L36" s="91"/>
      <c r="M36"/>
      <c r="N36"/>
      <c r="O36"/>
      <c r="P36" s="51"/>
    </row>
    <row r="37" spans="1:16" ht="16.5">
      <c r="A37" s="91"/>
      <c r="B37" s="91"/>
      <c r="C37" s="91"/>
      <c r="D37" s="91"/>
      <c r="E37" s="91"/>
      <c r="F37" s="91"/>
      <c r="G37" s="91"/>
      <c r="H37" s="91"/>
      <c r="I37" s="97"/>
      <c r="J37" s="91"/>
      <c r="K37" s="91"/>
      <c r="L37" s="91"/>
      <c r="M37"/>
      <c r="N37"/>
      <c r="O37"/>
      <c r="P37" s="51"/>
    </row>
    <row r="38" spans="1:12" ht="12.75">
      <c r="A38" s="91"/>
      <c r="B38" s="91"/>
      <c r="C38" s="91"/>
      <c r="D38" s="91"/>
      <c r="E38" s="91"/>
      <c r="F38" s="91"/>
      <c r="G38" s="91"/>
      <c r="H38" s="91"/>
      <c r="I38" s="97"/>
      <c r="J38" s="91"/>
      <c r="K38" s="91"/>
      <c r="L38" s="91"/>
    </row>
    <row r="39" spans="1:16" ht="16.5">
      <c r="A39" s="91"/>
      <c r="B39" s="91"/>
      <c r="C39" s="91"/>
      <c r="D39" s="91"/>
      <c r="E39" s="91"/>
      <c r="F39" s="91"/>
      <c r="G39" s="91"/>
      <c r="H39" s="91"/>
      <c r="I39" s="97"/>
      <c r="J39" s="91"/>
      <c r="K39" s="91"/>
      <c r="L39" s="91"/>
      <c r="M39"/>
      <c r="N39"/>
      <c r="O39"/>
      <c r="P39" s="51"/>
    </row>
    <row r="40" spans="1:16" ht="16.5">
      <c r="A40"/>
      <c r="B40"/>
      <c r="C40"/>
      <c r="D40"/>
      <c r="E40" s="91"/>
      <c r="F40" s="91"/>
      <c r="G40" s="91"/>
      <c r="H40" s="91"/>
      <c r="I40" s="97"/>
      <c r="J40" s="91"/>
      <c r="K40" s="91"/>
      <c r="L40" s="91"/>
      <c r="M40"/>
      <c r="N40"/>
      <c r="O40"/>
      <c r="P40" s="51"/>
    </row>
    <row r="41" spans="1:16" ht="16.5">
      <c r="A41"/>
      <c r="B41"/>
      <c r="C41"/>
      <c r="D41"/>
      <c r="E41" s="91"/>
      <c r="F41" s="91"/>
      <c r="G41" s="91"/>
      <c r="H41" s="91"/>
      <c r="I41" s="97"/>
      <c r="J41" s="91"/>
      <c r="K41" s="91"/>
      <c r="L41" s="91"/>
      <c r="M41"/>
      <c r="N41"/>
      <c r="O41"/>
      <c r="P41" s="51"/>
    </row>
    <row r="42" spans="1:16" ht="16.5">
      <c r="A42"/>
      <c r="B42"/>
      <c r="C42"/>
      <c r="D42"/>
      <c r="E42" s="91"/>
      <c r="F42" s="91"/>
      <c r="G42" s="91"/>
      <c r="H42" s="91"/>
      <c r="I42" s="97"/>
      <c r="J42" s="91"/>
      <c r="K42" s="91"/>
      <c r="L42" s="91"/>
      <c r="M42"/>
      <c r="N42"/>
      <c r="O42"/>
      <c r="P42" s="51"/>
    </row>
    <row r="43" spans="1:16" ht="16.5">
      <c r="A43"/>
      <c r="B43"/>
      <c r="C43"/>
      <c r="D43"/>
      <c r="E43" s="91"/>
      <c r="F43" s="91"/>
      <c r="G43" s="91"/>
      <c r="H43" s="91"/>
      <c r="I43" s="97"/>
      <c r="J43" s="91"/>
      <c r="K43" s="91"/>
      <c r="L43" s="91"/>
      <c r="M43"/>
      <c r="N43"/>
      <c r="O43"/>
      <c r="P43" s="51"/>
    </row>
    <row r="44" spans="1:16" ht="12.75">
      <c r="A44"/>
      <c r="B44"/>
      <c r="C44"/>
      <c r="D44"/>
      <c r="E44" s="91"/>
      <c r="F44" s="91"/>
      <c r="G44" s="91"/>
      <c r="H44" s="91"/>
      <c r="I44" s="97"/>
      <c r="J44" s="91"/>
      <c r="K44" s="91"/>
      <c r="L44" s="91"/>
      <c r="M44"/>
      <c r="N44"/>
      <c r="O44"/>
      <c r="P44" s="3"/>
    </row>
    <row r="45" spans="1:16" ht="12.75">
      <c r="A45"/>
      <c r="B45"/>
      <c r="C45"/>
      <c r="D45"/>
      <c r="E45" s="91"/>
      <c r="F45" s="91"/>
      <c r="G45" s="91"/>
      <c r="H45" s="91"/>
      <c r="I45" s="97"/>
      <c r="J45" s="91"/>
      <c r="K45" s="91"/>
      <c r="L45" s="91"/>
      <c r="M45"/>
      <c r="N45"/>
      <c r="O45"/>
      <c r="P45" s="3"/>
    </row>
    <row r="46" spans="1:16" ht="12.75">
      <c r="A46"/>
      <c r="B46"/>
      <c r="C46"/>
      <c r="D46"/>
      <c r="E46" s="91"/>
      <c r="F46" s="91"/>
      <c r="G46" s="91"/>
      <c r="H46" s="91"/>
      <c r="I46" s="97"/>
      <c r="J46" s="91"/>
      <c r="K46" s="91"/>
      <c r="L46" s="91"/>
      <c r="M46"/>
      <c r="N46"/>
      <c r="O46"/>
      <c r="P46" s="3"/>
    </row>
    <row r="47" spans="1:16" ht="12.75">
      <c r="A47"/>
      <c r="B47"/>
      <c r="C47"/>
      <c r="D47"/>
      <c r="E47" s="91"/>
      <c r="F47" s="91"/>
      <c r="G47" s="91"/>
      <c r="H47" s="91"/>
      <c r="I47" s="97"/>
      <c r="J47" s="91"/>
      <c r="K47" s="91"/>
      <c r="L47" s="91"/>
      <c r="M47"/>
      <c r="N47"/>
      <c r="O47"/>
      <c r="P47" s="3"/>
    </row>
    <row r="48" spans="1:16" ht="12.75">
      <c r="A48"/>
      <c r="B48"/>
      <c r="C48"/>
      <c r="D48"/>
      <c r="E48" s="91"/>
      <c r="F48" s="91"/>
      <c r="G48" s="91"/>
      <c r="H48" s="91"/>
      <c r="I48" s="97"/>
      <c r="J48" s="91"/>
      <c r="K48" s="91"/>
      <c r="L48" s="91"/>
      <c r="M48"/>
      <c r="N48"/>
      <c r="O48"/>
      <c r="P48" s="3"/>
    </row>
    <row r="49" spans="1:16" ht="12.75">
      <c r="A49"/>
      <c r="B49"/>
      <c r="C49"/>
      <c r="D49"/>
      <c r="E49" s="91"/>
      <c r="F49" s="91"/>
      <c r="G49" s="91"/>
      <c r="H49" s="91"/>
      <c r="I49" s="97"/>
      <c r="J49" s="91"/>
      <c r="K49" s="91"/>
      <c r="L49" s="91"/>
      <c r="M49"/>
      <c r="N49"/>
      <c r="O49"/>
      <c r="P49" s="3"/>
    </row>
    <row r="50" spans="1:16" ht="12.75">
      <c r="A50"/>
      <c r="B50"/>
      <c r="C50"/>
      <c r="D50"/>
      <c r="E50" s="91"/>
      <c r="F50" s="91"/>
      <c r="G50" s="91"/>
      <c r="H50" s="91"/>
      <c r="I50" s="97"/>
      <c r="J50" s="91"/>
      <c r="K50" s="91"/>
      <c r="L50" s="91"/>
      <c r="M50"/>
      <c r="N50"/>
      <c r="O50"/>
      <c r="P50" s="3"/>
    </row>
    <row r="51" spans="1:16" ht="12.75">
      <c r="A51"/>
      <c r="B51"/>
      <c r="C51"/>
      <c r="D51"/>
      <c r="E51" s="91"/>
      <c r="F51" s="91"/>
      <c r="G51" s="91"/>
      <c r="H51" s="91"/>
      <c r="I51" s="97"/>
      <c r="J51" s="91"/>
      <c r="K51" s="91"/>
      <c r="L51" s="91"/>
      <c r="M51"/>
      <c r="N51"/>
      <c r="O51"/>
      <c r="P51" s="3"/>
    </row>
    <row r="52" spans="1:16" ht="12.75">
      <c r="A52"/>
      <c r="B52"/>
      <c r="C52"/>
      <c r="D52"/>
      <c r="E52" s="91"/>
      <c r="F52" s="91"/>
      <c r="G52" s="91"/>
      <c r="H52" s="91"/>
      <c r="I52" s="97"/>
      <c r="J52" s="91"/>
      <c r="K52" s="91"/>
      <c r="L52" s="91"/>
      <c r="M52"/>
      <c r="N52"/>
      <c r="O52"/>
      <c r="P52" s="3"/>
    </row>
    <row r="53" spans="1:16" ht="12.75">
      <c r="A53"/>
      <c r="B53"/>
      <c r="C53"/>
      <c r="D53"/>
      <c r="E53" s="91"/>
      <c r="F53" s="91"/>
      <c r="G53" s="91"/>
      <c r="H53" s="91"/>
      <c r="I53" s="97"/>
      <c r="J53" s="91"/>
      <c r="K53" s="91"/>
      <c r="L53" s="91"/>
      <c r="M53"/>
      <c r="N53"/>
      <c r="O53"/>
      <c r="P53" s="3"/>
    </row>
    <row r="54" spans="1:16" ht="12.75">
      <c r="A54"/>
      <c r="B54"/>
      <c r="C54"/>
      <c r="D54"/>
      <c r="E54" s="91"/>
      <c r="F54" s="91"/>
      <c r="G54" s="91"/>
      <c r="H54" s="91"/>
      <c r="I54" s="97"/>
      <c r="J54" s="91"/>
      <c r="K54" s="91"/>
      <c r="L54" s="91"/>
      <c r="M54"/>
      <c r="N54"/>
      <c r="O54"/>
      <c r="P54" s="3"/>
    </row>
    <row r="55" spans="1:16" ht="12.75">
      <c r="A55"/>
      <c r="B55"/>
      <c r="C55"/>
      <c r="D55"/>
      <c r="E55" s="91"/>
      <c r="F55" s="91"/>
      <c r="G55" s="91"/>
      <c r="H55" s="91"/>
      <c r="I55" s="97"/>
      <c r="J55" s="91"/>
      <c r="K55" s="91"/>
      <c r="L55" s="91"/>
      <c r="M55"/>
      <c r="N55"/>
      <c r="O55"/>
      <c r="P55" s="3"/>
    </row>
    <row r="56" spans="1:16" ht="12.75">
      <c r="A56"/>
      <c r="B56"/>
      <c r="C56"/>
      <c r="D56"/>
      <c r="E56" s="91"/>
      <c r="F56" s="91"/>
      <c r="G56" s="91"/>
      <c r="H56" s="91"/>
      <c r="I56" s="97"/>
      <c r="J56" s="91"/>
      <c r="K56" s="91"/>
      <c r="L56" s="91"/>
      <c r="M56"/>
      <c r="N56"/>
      <c r="O56"/>
      <c r="P56" s="3"/>
    </row>
    <row r="57" spans="1:16" ht="12.75">
      <c r="A57"/>
      <c r="B57"/>
      <c r="C57"/>
      <c r="D57"/>
      <c r="E57" s="91"/>
      <c r="F57" s="91"/>
      <c r="G57" s="91"/>
      <c r="H57" s="91"/>
      <c r="I57" s="97"/>
      <c r="J57" s="91"/>
      <c r="K57" s="91"/>
      <c r="L57" s="91"/>
      <c r="M57"/>
      <c r="N57"/>
      <c r="O57"/>
      <c r="P57" s="3"/>
    </row>
    <row r="58" spans="1:15" ht="12">
      <c r="A58"/>
      <c r="B58"/>
      <c r="C58"/>
      <c r="D58"/>
      <c r="E58"/>
      <c r="F58"/>
      <c r="G58"/>
      <c r="H58"/>
      <c r="I58" s="102"/>
      <c r="J58"/>
      <c r="K58"/>
      <c r="L58"/>
      <c r="M58"/>
      <c r="N58"/>
      <c r="O58"/>
    </row>
    <row r="59" spans="1:15" ht="12">
      <c r="A59"/>
      <c r="B59"/>
      <c r="C59"/>
      <c r="D59"/>
      <c r="E59"/>
      <c r="F59"/>
      <c r="G59"/>
      <c r="H59"/>
      <c r="I59" s="102"/>
      <c r="J59"/>
      <c r="K59"/>
      <c r="L59"/>
      <c r="M59"/>
      <c r="N59"/>
      <c r="O59"/>
    </row>
    <row r="60" spans="3:15" ht="12">
      <c r="C60"/>
      <c r="D60"/>
      <c r="E60"/>
      <c r="F60"/>
      <c r="G60"/>
      <c r="H60"/>
      <c r="I60" s="102"/>
      <c r="J60"/>
      <c r="K60"/>
      <c r="L60"/>
      <c r="M60"/>
      <c r="N60"/>
      <c r="O60"/>
    </row>
    <row r="61" spans="3:15" ht="12">
      <c r="C61"/>
      <c r="D61"/>
      <c r="E61"/>
      <c r="F61"/>
      <c r="G61"/>
      <c r="H61"/>
      <c r="I61" s="102"/>
      <c r="J61"/>
      <c r="K61"/>
      <c r="L61"/>
      <c r="M61"/>
      <c r="N61"/>
      <c r="O61"/>
    </row>
    <row r="62" spans="3:15" ht="12">
      <c r="C62"/>
      <c r="D62"/>
      <c r="E62"/>
      <c r="F62"/>
      <c r="G62"/>
      <c r="H62"/>
      <c r="I62" s="102"/>
      <c r="J62"/>
      <c r="K62"/>
      <c r="L62"/>
      <c r="M62"/>
      <c r="N62"/>
      <c r="O62"/>
    </row>
    <row r="63" spans="3:15" ht="12">
      <c r="C63"/>
      <c r="D63"/>
      <c r="E63"/>
      <c r="F63"/>
      <c r="G63"/>
      <c r="H63"/>
      <c r="I63" s="102"/>
      <c r="J63"/>
      <c r="K63"/>
      <c r="L63"/>
      <c r="M63"/>
      <c r="N63"/>
      <c r="O63"/>
    </row>
    <row r="64" spans="3:15" ht="12">
      <c r="C64"/>
      <c r="D64"/>
      <c r="E64"/>
      <c r="F64"/>
      <c r="G64"/>
      <c r="H64"/>
      <c r="I64" s="102"/>
      <c r="J64"/>
      <c r="K64"/>
      <c r="L64"/>
      <c r="M64"/>
      <c r="N64"/>
      <c r="O64"/>
    </row>
    <row r="65" ht="12"/>
    <row r="66" ht="12"/>
    <row r="67" ht="12"/>
    <row r="68" spans="3:15" ht="12">
      <c r="C68"/>
      <c r="D68"/>
      <c r="E68"/>
      <c r="F68"/>
      <c r="G68"/>
      <c r="H68"/>
      <c r="I68" s="102"/>
      <c r="J68"/>
      <c r="K68"/>
      <c r="L68"/>
      <c r="M68"/>
      <c r="N68"/>
      <c r="O68"/>
    </row>
    <row r="69" spans="3:15" ht="12">
      <c r="C69"/>
      <c r="D69"/>
      <c r="E69"/>
      <c r="F69"/>
      <c r="G69"/>
      <c r="H69"/>
      <c r="I69" s="102"/>
      <c r="J69"/>
      <c r="K69"/>
      <c r="L69"/>
      <c r="M69"/>
      <c r="N69"/>
      <c r="O69"/>
    </row>
    <row r="70" spans="3:15" ht="12">
      <c r="C70"/>
      <c r="D70"/>
      <c r="E70"/>
      <c r="F70"/>
      <c r="G70"/>
      <c r="H70"/>
      <c r="I70" s="102"/>
      <c r="J70"/>
      <c r="K70"/>
      <c r="L70"/>
      <c r="M70"/>
      <c r="N70"/>
      <c r="O70"/>
    </row>
    <row r="71" spans="3:15" ht="12">
      <c r="C71"/>
      <c r="D71"/>
      <c r="E71"/>
      <c r="F71"/>
      <c r="G71"/>
      <c r="H71"/>
      <c r="I71" s="102"/>
      <c r="J71"/>
      <c r="K71"/>
      <c r="L71"/>
      <c r="M71"/>
      <c r="N71"/>
      <c r="O71"/>
    </row>
  </sheetData>
  <sheetProtection/>
  <mergeCells count="1">
    <mergeCell ref="A1:J1"/>
  </mergeCells>
  <printOptions/>
  <pageMargins left="0.3" right="0.2" top="0.24" bottom="0"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J9" sqref="J9"/>
    </sheetView>
  </sheetViews>
  <sheetFormatPr defaultColWidth="11.421875" defaultRowHeight="12.75"/>
  <cols>
    <col min="1" max="1" width="19.421875" style="3" customWidth="1"/>
    <col min="2" max="2" width="17.7109375" style="3" bestFit="1" customWidth="1"/>
    <col min="3" max="7" width="15.7109375" style="3" customWidth="1"/>
    <col min="8" max="8" width="17.140625" style="3" customWidth="1"/>
    <col min="9" max="10" width="15.7109375" style="3" customWidth="1"/>
    <col min="11" max="16384" width="9.140625" style="3" customWidth="1"/>
  </cols>
  <sheetData>
    <row r="1" spans="1:8" ht="18.75" customHeight="1">
      <c r="A1" s="54" t="s">
        <v>91</v>
      </c>
      <c r="B1" s="55"/>
      <c r="C1" s="55"/>
      <c r="D1" s="55"/>
      <c r="E1" s="55"/>
      <c r="F1" s="55"/>
      <c r="G1" s="55"/>
      <c r="H1" s="55"/>
    </row>
    <row r="2" ht="12">
      <c r="A2" s="3" t="s">
        <v>92</v>
      </c>
    </row>
    <row r="3" spans="1:8" ht="12">
      <c r="A3" s="3" t="s">
        <v>93</v>
      </c>
      <c r="B3" s="121" t="s">
        <v>44</v>
      </c>
      <c r="C3" s="121"/>
      <c r="D3" s="122">
        <v>0.47</v>
      </c>
      <c r="E3" s="121"/>
      <c r="F3" s="121" t="s">
        <v>45</v>
      </c>
      <c r="G3" s="123">
        <v>144</v>
      </c>
      <c r="H3" s="121"/>
    </row>
    <row r="4" spans="1:8" ht="12">
      <c r="A4" s="3" t="s">
        <v>16</v>
      </c>
      <c r="B4" s="3" t="s">
        <v>38</v>
      </c>
      <c r="C4" s="3" t="s">
        <v>39</v>
      </c>
      <c r="D4" s="3" t="s">
        <v>40</v>
      </c>
      <c r="E4" s="3" t="s">
        <v>41</v>
      </c>
      <c r="F4" s="3" t="s">
        <v>42</v>
      </c>
      <c r="G4" s="3" t="s">
        <v>43</v>
      </c>
      <c r="H4" s="3" t="s">
        <v>169</v>
      </c>
    </row>
    <row r="5" spans="1:8" s="125" customFormat="1" ht="12">
      <c r="A5" s="125" t="s">
        <v>94</v>
      </c>
      <c r="B5" s="125">
        <f>595.2*'Asst Unit Pln by Cls - Part 7'!D3</f>
        <v>279.744</v>
      </c>
      <c r="C5" s="125">
        <f>671.9*D3</f>
        <v>315.79299999999995</v>
      </c>
      <c r="D5" s="125">
        <f>620.4*D3</f>
        <v>291.58799999999997</v>
      </c>
      <c r="E5" s="125">
        <f>699.5*D3</f>
        <v>328.765</v>
      </c>
      <c r="F5" s="125">
        <f>413.6*D3</f>
        <v>194.392</v>
      </c>
      <c r="G5" s="125">
        <f>516.6*D3</f>
        <v>242.802</v>
      </c>
      <c r="H5" s="125">
        <f aca="true" t="shared" si="0" ref="H5:H10">SUM(B5:G5)</f>
        <v>1653.0839999999998</v>
      </c>
    </row>
    <row r="6" spans="1:8" s="125" customFormat="1" ht="12">
      <c r="A6" s="125" t="s">
        <v>133</v>
      </c>
      <c r="B6" s="125">
        <f>126.6*D3</f>
        <v>59.501999999999995</v>
      </c>
      <c r="C6" s="125">
        <f>203.6*D3</f>
        <v>95.692</v>
      </c>
      <c r="D6" s="125">
        <f>172.3*D3</f>
        <v>80.981</v>
      </c>
      <c r="E6" s="125">
        <f>184.1*D3</f>
        <v>86.52699999999999</v>
      </c>
      <c r="F6" s="125">
        <f>108.8*D3</f>
        <v>51.135999999999996</v>
      </c>
      <c r="G6" s="125">
        <f>101.3*D3</f>
        <v>47.611</v>
      </c>
      <c r="H6" s="125">
        <f t="shared" si="0"/>
        <v>421.44899999999996</v>
      </c>
    </row>
    <row r="7" spans="1:8" s="125" customFormat="1" ht="12">
      <c r="A7" s="125" t="s">
        <v>135</v>
      </c>
      <c r="B7" s="125">
        <f>19*D3</f>
        <v>8.93</v>
      </c>
      <c r="C7" s="125">
        <f>21.3*D3</f>
        <v>10.011</v>
      </c>
      <c r="D7" s="125">
        <f>24.4*D3</f>
        <v>11.467999999999998</v>
      </c>
      <c r="E7" s="125">
        <f>32.9*D3</f>
        <v>15.463</v>
      </c>
      <c r="F7" s="125">
        <f>48.5*D3</f>
        <v>22.794999999999998</v>
      </c>
      <c r="G7" s="125">
        <f>64.9*D3</f>
        <v>30.503</v>
      </c>
      <c r="H7" s="125">
        <f t="shared" si="0"/>
        <v>99.17</v>
      </c>
    </row>
    <row r="8" spans="1:8" s="125" customFormat="1" ht="12">
      <c r="A8" s="125" t="s">
        <v>137</v>
      </c>
      <c r="B8" s="125">
        <f>139.1*D3</f>
        <v>65.377</v>
      </c>
      <c r="C8" s="125">
        <f>96.5*D3</f>
        <v>45.355</v>
      </c>
      <c r="D8" s="125">
        <f>189.3*D3</f>
        <v>88.971</v>
      </c>
      <c r="E8" s="125">
        <f>-120.2*D3</f>
        <v>-56.494</v>
      </c>
      <c r="F8" s="125">
        <f>196.4*D3</f>
        <v>92.30799999999999</v>
      </c>
      <c r="G8" s="125">
        <f>(194.4*D3)</f>
        <v>91.368</v>
      </c>
      <c r="H8" s="125">
        <f t="shared" si="0"/>
        <v>326.885</v>
      </c>
    </row>
    <row r="9" spans="1:8" s="126" customFormat="1" ht="12">
      <c r="A9" s="126" t="s">
        <v>95</v>
      </c>
      <c r="B9" s="126">
        <f>(1000*B8)/G3</f>
        <v>454.0069444444444</v>
      </c>
      <c r="C9" s="126">
        <f>(1000*C8)/G3</f>
        <v>314.96527777777777</v>
      </c>
      <c r="D9" s="126">
        <f>(1000*D8)/G3</f>
        <v>617.8541666666666</v>
      </c>
      <c r="E9" s="126">
        <f>(1000*E8)/G3</f>
        <v>-392.31944444444446</v>
      </c>
      <c r="F9" s="126">
        <f>(1000*F8)/G3</f>
        <v>641.0277777777778</v>
      </c>
      <c r="G9" s="126">
        <f>(1000*G8)/G3</f>
        <v>634.5</v>
      </c>
      <c r="H9" s="126">
        <f t="shared" si="0"/>
        <v>2270.034722222222</v>
      </c>
    </row>
    <row r="10" spans="1:8" s="125" customFormat="1" ht="12">
      <c r="A10" s="125" t="s">
        <v>37</v>
      </c>
      <c r="B10" s="125">
        <f>671.9*D3</f>
        <v>315.79299999999995</v>
      </c>
      <c r="C10" s="125">
        <f>620.4*D3</f>
        <v>291.58799999999997</v>
      </c>
      <c r="D10" s="125">
        <f>699.5*D3</f>
        <v>328.765</v>
      </c>
      <c r="E10" s="125">
        <f>413.6*D3</f>
        <v>194.392</v>
      </c>
      <c r="F10" s="125">
        <f>516.6*D3</f>
        <v>242.802</v>
      </c>
      <c r="G10" s="125">
        <f>514*D3</f>
        <v>241.57999999999998</v>
      </c>
      <c r="H10" s="125">
        <f t="shared" si="0"/>
        <v>1614.9199999999996</v>
      </c>
    </row>
    <row r="12" spans="1:8" ht="12">
      <c r="A12" s="3" t="s">
        <v>93</v>
      </c>
      <c r="B12" s="121" t="s">
        <v>46</v>
      </c>
      <c r="C12" s="121"/>
      <c r="D12" s="122">
        <v>0.22</v>
      </c>
      <c r="E12" s="121"/>
      <c r="F12" s="121" t="s">
        <v>45</v>
      </c>
      <c r="G12" s="123">
        <v>124</v>
      </c>
      <c r="H12" s="121"/>
    </row>
    <row r="13" spans="1:8" ht="12">
      <c r="A13" s="3" t="s">
        <v>16</v>
      </c>
      <c r="B13" s="3" t="s">
        <v>38</v>
      </c>
      <c r="C13" s="3" t="s">
        <v>39</v>
      </c>
      <c r="D13" s="3" t="s">
        <v>40</v>
      </c>
      <c r="E13" s="3" t="s">
        <v>41</v>
      </c>
      <c r="F13" s="3" t="s">
        <v>42</v>
      </c>
      <c r="G13" s="3" t="s">
        <v>43</v>
      </c>
      <c r="H13" s="3" t="s">
        <v>169</v>
      </c>
    </row>
    <row r="14" spans="1:8" s="125" customFormat="1" ht="12">
      <c r="A14" s="125" t="s">
        <v>94</v>
      </c>
      <c r="B14" s="125">
        <f>595.2*D12</f>
        <v>130.94400000000002</v>
      </c>
      <c r="C14" s="125">
        <f>671.9*D12</f>
        <v>147.81799999999998</v>
      </c>
      <c r="D14" s="125">
        <f>620.4*D12</f>
        <v>136.488</v>
      </c>
      <c r="E14" s="125">
        <f>699.5*D12</f>
        <v>153.89000000000001</v>
      </c>
      <c r="F14" s="125">
        <f>413.6*D12</f>
        <v>90.992</v>
      </c>
      <c r="G14" s="125">
        <f>516.6*D12</f>
        <v>113.652</v>
      </c>
      <c r="H14" s="125">
        <f aca="true" t="shared" si="1" ref="H14:H19">SUM(B14:G14)</f>
        <v>773.784</v>
      </c>
    </row>
    <row r="15" spans="1:8" s="125" customFormat="1" ht="12">
      <c r="A15" s="125" t="s">
        <v>133</v>
      </c>
      <c r="B15" s="125">
        <f>126.6*D12</f>
        <v>27.852</v>
      </c>
      <c r="C15" s="125">
        <f>203.6*D12</f>
        <v>44.792</v>
      </c>
      <c r="D15" s="125">
        <f>172.3*D12</f>
        <v>37.906000000000006</v>
      </c>
      <c r="E15" s="125">
        <f>184.1*D12</f>
        <v>40.502</v>
      </c>
      <c r="F15" s="125">
        <f>108.8*D12</f>
        <v>23.936</v>
      </c>
      <c r="G15" s="125">
        <f>101.3*D12</f>
        <v>22.285999999999998</v>
      </c>
      <c r="H15" s="125">
        <f t="shared" si="1"/>
        <v>197.27400000000003</v>
      </c>
    </row>
    <row r="16" spans="1:8" s="125" customFormat="1" ht="12">
      <c r="A16" s="125" t="s">
        <v>135</v>
      </c>
      <c r="B16" s="125">
        <f>19*D12</f>
        <v>4.18</v>
      </c>
      <c r="C16" s="125">
        <f>21.3*D12</f>
        <v>4.686</v>
      </c>
      <c r="D16" s="125">
        <f>24.4*D12</f>
        <v>5.367999999999999</v>
      </c>
      <c r="E16" s="125">
        <f>32.9*D12</f>
        <v>7.2379999999999995</v>
      </c>
      <c r="F16" s="125">
        <f>48.5*D12</f>
        <v>10.67</v>
      </c>
      <c r="G16" s="125">
        <f>64.9*D12</f>
        <v>14.278</v>
      </c>
      <c r="H16" s="125">
        <f t="shared" si="1"/>
        <v>46.419999999999995</v>
      </c>
    </row>
    <row r="17" spans="1:8" s="125" customFormat="1" ht="15" customHeight="1">
      <c r="A17" s="125" t="s">
        <v>137</v>
      </c>
      <c r="B17" s="125">
        <f>139.1*D12</f>
        <v>30.602</v>
      </c>
      <c r="C17" s="125">
        <f>96.5*D12</f>
        <v>21.23</v>
      </c>
      <c r="D17" s="125">
        <f>189.3*D12</f>
        <v>41.646</v>
      </c>
      <c r="E17" s="125">
        <f>-120.2*D12</f>
        <v>-26.444</v>
      </c>
      <c r="F17" s="125">
        <f>196.4*D12</f>
        <v>43.208</v>
      </c>
      <c r="G17" s="125">
        <f>194.4*D12</f>
        <v>42.768</v>
      </c>
      <c r="H17" s="125">
        <f t="shared" si="1"/>
        <v>153.01</v>
      </c>
    </row>
    <row r="18" spans="1:8" s="126" customFormat="1" ht="15" customHeight="1">
      <c r="A18" s="126" t="s">
        <v>95</v>
      </c>
      <c r="B18" s="126">
        <f>(1000*B17)/G12</f>
        <v>246.79032258064515</v>
      </c>
      <c r="C18" s="126">
        <f>(1000*C17)/G12</f>
        <v>171.20967741935485</v>
      </c>
      <c r="D18" s="126">
        <f>(1000*D17)/G12</f>
        <v>335.85483870967744</v>
      </c>
      <c r="E18" s="126">
        <f>(1000*E17)/G12</f>
        <v>-213.25806451612902</v>
      </c>
      <c r="F18" s="126">
        <f>(1000*F17)/G12</f>
        <v>348.4516129032258</v>
      </c>
      <c r="G18" s="126">
        <f>(1000*G17)/G12</f>
        <v>344.9032258064516</v>
      </c>
      <c r="H18" s="126">
        <f t="shared" si="1"/>
        <v>1233.9516129032259</v>
      </c>
    </row>
    <row r="19" spans="1:8" s="125" customFormat="1" ht="15" customHeight="1">
      <c r="A19" s="125" t="s">
        <v>37</v>
      </c>
      <c r="B19" s="125">
        <f>671.9*D12</f>
        <v>147.81799999999998</v>
      </c>
      <c r="C19" s="125">
        <f>620.4*D12</f>
        <v>136.488</v>
      </c>
      <c r="D19" s="125">
        <f>699.5*D12</f>
        <v>153.89000000000001</v>
      </c>
      <c r="E19" s="125">
        <f>413.6*D12</f>
        <v>90.992</v>
      </c>
      <c r="F19" s="125">
        <f>516.6*D12</f>
        <v>113.652</v>
      </c>
      <c r="G19" s="125">
        <f>514*D12</f>
        <v>113.08</v>
      </c>
      <c r="H19" s="125">
        <f t="shared" si="1"/>
        <v>755.9200000000001</v>
      </c>
    </row>
    <row r="20" ht="15" customHeight="1"/>
    <row r="21" spans="1:8" ht="15" customHeight="1">
      <c r="A21" s="3" t="s">
        <v>93</v>
      </c>
      <c r="B21" s="124" t="s">
        <v>47</v>
      </c>
      <c r="C21" s="121"/>
      <c r="D21" s="122">
        <v>0.17</v>
      </c>
      <c r="E21" s="121"/>
      <c r="F21" s="121" t="s">
        <v>45</v>
      </c>
      <c r="G21" s="123">
        <v>198</v>
      </c>
      <c r="H21" s="121"/>
    </row>
    <row r="22" spans="1:8" ht="15" customHeight="1">
      <c r="A22" s="3" t="s">
        <v>16</v>
      </c>
      <c r="B22" s="3" t="s">
        <v>38</v>
      </c>
      <c r="C22" s="3" t="s">
        <v>39</v>
      </c>
      <c r="D22" s="3" t="s">
        <v>40</v>
      </c>
      <c r="E22" s="3" t="s">
        <v>41</v>
      </c>
      <c r="F22" s="3" t="s">
        <v>42</v>
      </c>
      <c r="G22" s="3" t="s">
        <v>43</v>
      </c>
      <c r="H22" s="3" t="s">
        <v>169</v>
      </c>
    </row>
    <row r="23" spans="1:8" s="125" customFormat="1" ht="15" customHeight="1">
      <c r="A23" s="125" t="s">
        <v>94</v>
      </c>
      <c r="B23" s="125">
        <f>595.2*D21</f>
        <v>101.18400000000001</v>
      </c>
      <c r="C23" s="125">
        <f>671.9*D21</f>
        <v>114.223</v>
      </c>
      <c r="D23" s="125">
        <f>620.4*D21</f>
        <v>105.468</v>
      </c>
      <c r="E23" s="125">
        <f>699.5*D21</f>
        <v>118.915</v>
      </c>
      <c r="F23" s="125">
        <f>413.6*D21</f>
        <v>70.31200000000001</v>
      </c>
      <c r="G23" s="125">
        <f>516.6*D21</f>
        <v>87.82200000000002</v>
      </c>
      <c r="H23" s="125">
        <f aca="true" t="shared" si="2" ref="H23:H28">SUM(B23:G23)</f>
        <v>597.9240000000001</v>
      </c>
    </row>
    <row r="24" spans="1:8" s="125" customFormat="1" ht="15" customHeight="1">
      <c r="A24" s="125" t="s">
        <v>133</v>
      </c>
      <c r="B24" s="125">
        <f>126.6*D21</f>
        <v>21.522000000000002</v>
      </c>
      <c r="C24" s="125">
        <f>203.6*D21</f>
        <v>34.612</v>
      </c>
      <c r="D24" s="125">
        <f>172.3*D21</f>
        <v>29.291000000000004</v>
      </c>
      <c r="E24" s="125">
        <f>184.1*D21</f>
        <v>31.297</v>
      </c>
      <c r="F24" s="125">
        <f>108.8*D21</f>
        <v>18.496000000000002</v>
      </c>
      <c r="G24" s="125">
        <f>101.3*D21</f>
        <v>17.221</v>
      </c>
      <c r="H24" s="125">
        <f t="shared" si="2"/>
        <v>152.43900000000002</v>
      </c>
    </row>
    <row r="25" spans="1:8" s="125" customFormat="1" ht="15" customHeight="1">
      <c r="A25" s="125" t="s">
        <v>135</v>
      </c>
      <c r="B25" s="125">
        <f>19*D21</f>
        <v>3.2300000000000004</v>
      </c>
      <c r="C25" s="125">
        <f>21.3*D21</f>
        <v>3.6210000000000004</v>
      </c>
      <c r="D25" s="125">
        <f>24.4*D21</f>
        <v>4.148</v>
      </c>
      <c r="E25" s="125">
        <f>32.9*D21</f>
        <v>5.593</v>
      </c>
      <c r="F25" s="125">
        <f>48.5*D21</f>
        <v>8.245000000000001</v>
      </c>
      <c r="G25" s="125">
        <f>64.9*D21</f>
        <v>11.033000000000001</v>
      </c>
      <c r="H25" s="125">
        <f t="shared" si="2"/>
        <v>35.870000000000005</v>
      </c>
    </row>
    <row r="26" spans="1:8" s="125" customFormat="1" ht="15" customHeight="1">
      <c r="A26" s="125" t="s">
        <v>137</v>
      </c>
      <c r="B26" s="125">
        <f>139.1*D21</f>
        <v>23.647000000000002</v>
      </c>
      <c r="C26" s="125">
        <f>96.5*D21</f>
        <v>16.405</v>
      </c>
      <c r="D26" s="125">
        <f>189.3*D21</f>
        <v>32.181000000000004</v>
      </c>
      <c r="E26" s="125">
        <f>-120.2*D21</f>
        <v>-20.434</v>
      </c>
      <c r="F26" s="125">
        <f>196.4*D21</f>
        <v>33.388000000000005</v>
      </c>
      <c r="G26" s="125">
        <f>194.4*D21</f>
        <v>33.048</v>
      </c>
      <c r="H26" s="125">
        <f t="shared" si="2"/>
        <v>118.23500000000001</v>
      </c>
    </row>
    <row r="27" spans="1:8" s="126" customFormat="1" ht="15" customHeight="1">
      <c r="A27" s="126" t="s">
        <v>95</v>
      </c>
      <c r="B27" s="126">
        <f>(1000*B26)/G21</f>
        <v>119.42929292929294</v>
      </c>
      <c r="C27" s="126">
        <f>(1000*C26)/G21</f>
        <v>82.85353535353535</v>
      </c>
      <c r="D27" s="126">
        <f>(1000*D26)/G21</f>
        <v>162.53030303030306</v>
      </c>
      <c r="E27" s="126">
        <f>(1000*E26)/G21</f>
        <v>-103.20202020202021</v>
      </c>
      <c r="F27" s="126">
        <f>(1000*F26)/G21</f>
        <v>168.62626262626267</v>
      </c>
      <c r="G27" s="126">
        <f>(1000*G26)/G21</f>
        <v>166.9090909090909</v>
      </c>
      <c r="H27" s="126">
        <f t="shared" si="2"/>
        <v>597.1464646464647</v>
      </c>
    </row>
    <row r="28" spans="1:8" s="125" customFormat="1" ht="15" customHeight="1">
      <c r="A28" s="125" t="s">
        <v>37</v>
      </c>
      <c r="B28" s="125">
        <f>671.9*D21</f>
        <v>114.223</v>
      </c>
      <c r="C28" s="125">
        <f>620.4*D21</f>
        <v>105.468</v>
      </c>
      <c r="D28" s="125">
        <f>699.5*D21</f>
        <v>118.915</v>
      </c>
      <c r="E28" s="125">
        <f>413.6*D21</f>
        <v>70.31200000000001</v>
      </c>
      <c r="F28" s="125">
        <f>516.6*D21</f>
        <v>87.82200000000002</v>
      </c>
      <c r="G28" s="125">
        <f>514*D21</f>
        <v>87.38000000000001</v>
      </c>
      <c r="H28" s="125">
        <f t="shared" si="2"/>
        <v>584.12</v>
      </c>
    </row>
    <row r="30" spans="1:8" ht="12">
      <c r="A30" s="3" t="s">
        <v>93</v>
      </c>
      <c r="B30" s="124" t="s">
        <v>48</v>
      </c>
      <c r="C30" s="121"/>
      <c r="D30" s="122">
        <v>0.14</v>
      </c>
      <c r="E30" s="121"/>
      <c r="F30" s="121" t="s">
        <v>45</v>
      </c>
      <c r="G30" s="123">
        <v>164</v>
      </c>
      <c r="H30" s="121"/>
    </row>
    <row r="31" spans="1:8" ht="12">
      <c r="A31" s="3" t="s">
        <v>16</v>
      </c>
      <c r="B31" s="3" t="s">
        <v>38</v>
      </c>
      <c r="C31" s="3" t="s">
        <v>39</v>
      </c>
      <c r="D31" s="3" t="s">
        <v>40</v>
      </c>
      <c r="E31" s="3" t="s">
        <v>41</v>
      </c>
      <c r="F31" s="3" t="s">
        <v>42</v>
      </c>
      <c r="G31" s="3" t="s">
        <v>43</v>
      </c>
      <c r="H31" s="3" t="s">
        <v>169</v>
      </c>
    </row>
    <row r="32" spans="1:8" s="125" customFormat="1" ht="12">
      <c r="A32" s="125" t="s">
        <v>94</v>
      </c>
      <c r="B32" s="125">
        <f>595.2*D30</f>
        <v>83.32800000000002</v>
      </c>
      <c r="C32" s="125">
        <f>671.9*D30</f>
        <v>94.066</v>
      </c>
      <c r="D32" s="125">
        <f>620.4*D30</f>
        <v>86.85600000000001</v>
      </c>
      <c r="E32" s="125">
        <f>699.5*D30</f>
        <v>97.93</v>
      </c>
      <c r="F32" s="125">
        <f>413.6*D30</f>
        <v>57.90400000000001</v>
      </c>
      <c r="G32" s="125">
        <f>516.6*D30</f>
        <v>72.32400000000001</v>
      </c>
      <c r="H32" s="125">
        <f aca="true" t="shared" si="3" ref="H32:H37">SUM(B32:G32)</f>
        <v>492.408</v>
      </c>
    </row>
    <row r="33" spans="1:8" s="125" customFormat="1" ht="12">
      <c r="A33" s="125" t="s">
        <v>133</v>
      </c>
      <c r="B33" s="125">
        <f>126.6*D30</f>
        <v>17.724</v>
      </c>
      <c r="C33" s="125">
        <f>203.6*D30</f>
        <v>28.504</v>
      </c>
      <c r="D33" s="125">
        <f>172.3*D30</f>
        <v>24.122000000000003</v>
      </c>
      <c r="E33" s="125">
        <f>184.1*D30</f>
        <v>25.774</v>
      </c>
      <c r="F33" s="125">
        <f>108.8*D30</f>
        <v>15.232000000000001</v>
      </c>
      <c r="G33" s="125">
        <f>101.3*D30</f>
        <v>14.182</v>
      </c>
      <c r="H33" s="125">
        <f t="shared" si="3"/>
        <v>125.53800000000001</v>
      </c>
    </row>
    <row r="34" spans="1:8" s="125" customFormat="1" ht="12">
      <c r="A34" s="125" t="s">
        <v>135</v>
      </c>
      <c r="B34" s="125">
        <f>19*D30</f>
        <v>2.66</v>
      </c>
      <c r="C34" s="125">
        <f>21.3*D30</f>
        <v>2.982</v>
      </c>
      <c r="D34" s="125">
        <f>24.4*D30</f>
        <v>3.416</v>
      </c>
      <c r="E34" s="125">
        <f>32.9*D30</f>
        <v>4.606</v>
      </c>
      <c r="F34" s="125">
        <f>48.5*D30</f>
        <v>6.790000000000001</v>
      </c>
      <c r="G34" s="125">
        <f>64.9*D30</f>
        <v>9.086000000000002</v>
      </c>
      <c r="H34" s="125">
        <f t="shared" si="3"/>
        <v>29.540000000000003</v>
      </c>
    </row>
    <row r="35" spans="1:8" s="125" customFormat="1" ht="15" customHeight="1">
      <c r="A35" s="125" t="s">
        <v>137</v>
      </c>
      <c r="B35" s="125">
        <f>139.1*D30</f>
        <v>19.474</v>
      </c>
      <c r="C35" s="125">
        <f>96.5*D30</f>
        <v>13.510000000000002</v>
      </c>
      <c r="D35" s="125">
        <f>189.3*D30</f>
        <v>26.502000000000002</v>
      </c>
      <c r="E35" s="125">
        <f>-120.2*D30</f>
        <v>-16.828000000000003</v>
      </c>
      <c r="F35" s="125">
        <f>196.4*D30</f>
        <v>27.496000000000002</v>
      </c>
      <c r="G35" s="125">
        <f>194.4*D30</f>
        <v>27.216000000000005</v>
      </c>
      <c r="H35" s="125">
        <f t="shared" si="3"/>
        <v>97.37</v>
      </c>
    </row>
    <row r="36" spans="1:8" s="126" customFormat="1" ht="15" customHeight="1">
      <c r="A36" s="126" t="s">
        <v>95</v>
      </c>
      <c r="B36" s="126">
        <f>(1000*B35)/G30</f>
        <v>118.7439024390244</v>
      </c>
      <c r="C36" s="126">
        <f>(1000*C35)/G30</f>
        <v>82.37804878048782</v>
      </c>
      <c r="D36" s="126">
        <f>(1000*D35)/G30</f>
        <v>161.59756097560978</v>
      </c>
      <c r="E36" s="126">
        <f>(1000*E35)/G3</f>
        <v>-116.86111111111114</v>
      </c>
      <c r="F36" s="126">
        <f>(1000*F35)/G30</f>
        <v>167.65853658536588</v>
      </c>
      <c r="G36" s="126">
        <f>(1000*G35)/G30</f>
        <v>165.95121951219514</v>
      </c>
      <c r="H36" s="126">
        <f t="shared" si="3"/>
        <v>579.4681571815719</v>
      </c>
    </row>
    <row r="37" spans="1:8" s="125" customFormat="1" ht="15" customHeight="1">
      <c r="A37" s="125" t="s">
        <v>37</v>
      </c>
      <c r="B37" s="125">
        <f>671.9*D30</f>
        <v>94.066</v>
      </c>
      <c r="C37" s="125">
        <f>620.4*D30</f>
        <v>86.85600000000001</v>
      </c>
      <c r="D37" s="125">
        <f>699.5*D30</f>
        <v>97.93</v>
      </c>
      <c r="E37" s="125">
        <f>413.6*D30</f>
        <v>57.90400000000001</v>
      </c>
      <c r="F37" s="125">
        <f>516.6*D30</f>
        <v>72.32400000000001</v>
      </c>
      <c r="G37" s="125">
        <f>514*D30</f>
        <v>71.96000000000001</v>
      </c>
      <c r="H37" s="125">
        <f t="shared" si="3"/>
        <v>481.0400000000001</v>
      </c>
    </row>
    <row r="38" ht="15" customHeight="1"/>
    <row r="39" ht="15" customHeight="1"/>
    <row r="40" ht="15" customHeight="1"/>
    <row r="41" ht="15" customHeight="1"/>
    <row r="42" ht="15" customHeight="1"/>
    <row r="43" ht="15" customHeight="1"/>
    <row r="44" ht="15" customHeight="1"/>
    <row r="45" ht="15" customHeight="1"/>
    <row r="46"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printOptions/>
  <pageMargins left="0.57" right="0.75" top="0.3" bottom="0.36" header="0.5" footer="0.5"/>
  <pageSetup fitToHeight="2" fitToWidth="1" horizontalDpi="300" verticalDpi="300" orientation="landscape" scale="77"/>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F20" sqref="F20"/>
    </sheetView>
  </sheetViews>
  <sheetFormatPr defaultColWidth="11.421875" defaultRowHeight="12.75"/>
  <cols>
    <col min="1" max="1" width="32.421875" style="3" customWidth="1"/>
    <col min="2" max="2" width="15.7109375" style="3" customWidth="1"/>
    <col min="3" max="3" width="21.421875" style="3" customWidth="1"/>
    <col min="4" max="4" width="15.7109375" style="3" customWidth="1"/>
    <col min="5" max="5" width="18.7109375" style="3" bestFit="1" customWidth="1"/>
    <col min="6" max="16384" width="9.140625" style="3" customWidth="1"/>
  </cols>
  <sheetData>
    <row r="1" spans="1:3" ht="19.5" customHeight="1">
      <c r="A1" s="5" t="s">
        <v>209</v>
      </c>
      <c r="C1" s="6"/>
    </row>
    <row r="2" ht="12.75" thickBot="1"/>
    <row r="3" spans="1:6" ht="19.5" customHeight="1">
      <c r="A3" s="7"/>
      <c r="B3" s="8"/>
      <c r="C3" s="8"/>
      <c r="D3" s="9" t="s">
        <v>104</v>
      </c>
      <c r="E3" s="10"/>
      <c r="F3" s="11"/>
    </row>
    <row r="4" spans="1:6" ht="19.5" customHeight="1">
      <c r="A4" s="12" t="s">
        <v>207</v>
      </c>
      <c r="B4" s="13"/>
      <c r="C4" s="13" t="s">
        <v>210</v>
      </c>
      <c r="D4" s="14" t="s">
        <v>109</v>
      </c>
      <c r="E4" s="10"/>
      <c r="F4" s="11"/>
    </row>
    <row r="5" spans="1:6" ht="19.5" customHeight="1">
      <c r="A5" s="15" t="s">
        <v>110</v>
      </c>
      <c r="B5" s="16"/>
      <c r="C5" s="53">
        <v>896.8</v>
      </c>
      <c r="D5" s="17"/>
      <c r="E5" s="11"/>
      <c r="F5" s="11"/>
    </row>
    <row r="6" spans="1:5" ht="19.5" customHeight="1">
      <c r="A6" s="15" t="s">
        <v>111</v>
      </c>
      <c r="B6" s="16"/>
      <c r="C6" s="53">
        <v>210.8</v>
      </c>
      <c r="D6" s="19">
        <f>C6/C5</f>
        <v>0.23505798394290814</v>
      </c>
      <c r="E6" s="11"/>
    </row>
    <row r="7" spans="1:5" ht="19.5" customHeight="1">
      <c r="A7" s="15" t="s">
        <v>248</v>
      </c>
      <c r="B7" s="16"/>
      <c r="C7" s="18">
        <f>C5*D7</f>
        <v>26.903999999999996</v>
      </c>
      <c r="D7" s="19">
        <v>0.03</v>
      </c>
      <c r="E7" s="11"/>
    </row>
    <row r="8" spans="1:5" ht="19.5" customHeight="1">
      <c r="A8" s="15" t="s">
        <v>249</v>
      </c>
      <c r="B8" s="16"/>
      <c r="C8" s="18">
        <f>C5*D8</f>
        <v>17.936</v>
      </c>
      <c r="D8" s="19">
        <v>0.02</v>
      </c>
      <c r="E8" s="11"/>
    </row>
    <row r="9" spans="1:5" ht="19.5" customHeight="1" thickBot="1">
      <c r="A9" s="20" t="s">
        <v>250</v>
      </c>
      <c r="B9" s="21"/>
      <c r="C9" s="22">
        <f>C5+C6+C7+C8</f>
        <v>1152.4399999999998</v>
      </c>
      <c r="D9" s="23">
        <f>D6+D7+D8</f>
        <v>0.28505798394290816</v>
      </c>
      <c r="E9" s="11"/>
    </row>
    <row r="10" spans="1:5" ht="19.5" customHeight="1" thickBot="1">
      <c r="A10" s="15"/>
      <c r="B10" s="16"/>
      <c r="C10" s="24"/>
      <c r="D10" s="25"/>
      <c r="E10" s="11"/>
    </row>
    <row r="11" spans="1:5" ht="19.5" customHeight="1">
      <c r="A11" s="26"/>
      <c r="B11" s="8" t="s">
        <v>211</v>
      </c>
      <c r="C11" s="8" t="s">
        <v>210</v>
      </c>
      <c r="D11" s="8" t="s">
        <v>212</v>
      </c>
      <c r="E11" s="27" t="s">
        <v>213</v>
      </c>
    </row>
    <row r="12" spans="1:5" ht="19.5" customHeight="1">
      <c r="A12" s="15" t="s">
        <v>251</v>
      </c>
      <c r="B12" s="18">
        <f>C12-(C12*D12)</f>
        <v>40.098</v>
      </c>
      <c r="C12" s="53">
        <v>97.8</v>
      </c>
      <c r="D12" s="28">
        <v>0.59</v>
      </c>
      <c r="E12" s="29">
        <f>B12/C12</f>
        <v>0.41</v>
      </c>
    </row>
    <row r="13" spans="1:5" ht="19.5" customHeight="1">
      <c r="A13" s="15" t="s">
        <v>112</v>
      </c>
      <c r="B13" s="18">
        <f>C13-(C13*D13)</f>
        <v>401.65999999999997</v>
      </c>
      <c r="C13" s="53">
        <v>1057</v>
      </c>
      <c r="D13" s="28">
        <v>0.62</v>
      </c>
      <c r="E13" s="29">
        <f>B13/C13</f>
        <v>0.37999999999999995</v>
      </c>
    </row>
    <row r="14" spans="1:5" ht="19.5" customHeight="1">
      <c r="A14" s="15" t="s">
        <v>113</v>
      </c>
      <c r="B14" s="30">
        <f>B12+B13</f>
        <v>441.758</v>
      </c>
      <c r="C14" s="127">
        <f>C12+C13</f>
        <v>1154.8</v>
      </c>
      <c r="D14" s="31">
        <f>(C14-B14)/C14</f>
        <v>0.6174593003117422</v>
      </c>
      <c r="E14" s="29">
        <f>B14/C14</f>
        <v>0.3825406996882577</v>
      </c>
    </row>
    <row r="15" spans="1:5" ht="19.5" customHeight="1" thickBot="1">
      <c r="A15" s="20" t="s">
        <v>272</v>
      </c>
      <c r="B15" s="22">
        <f>C15-(C15*D15)</f>
        <v>0.9038800000000489</v>
      </c>
      <c r="C15" s="22">
        <f>C14-C9</f>
        <v>2.3600000000001273</v>
      </c>
      <c r="D15" s="32">
        <v>0.617</v>
      </c>
      <c r="E15" s="33">
        <f>B15/C15</f>
        <v>0.38300000000000006</v>
      </c>
    </row>
    <row r="16" spans="1:5" ht="19.5" customHeight="1" thickBot="1">
      <c r="A16" s="15"/>
      <c r="B16" s="34"/>
      <c r="C16" s="34"/>
      <c r="D16" s="35"/>
      <c r="E16" s="36"/>
    </row>
    <row r="17" spans="1:5" ht="19.5" customHeight="1">
      <c r="A17" s="26"/>
      <c r="B17" s="37"/>
      <c r="C17" s="37"/>
      <c r="D17" s="9" t="s">
        <v>104</v>
      </c>
      <c r="E17" s="36"/>
    </row>
    <row r="18" spans="1:5" ht="19.5" customHeight="1">
      <c r="A18" s="15"/>
      <c r="B18" s="13" t="s">
        <v>214</v>
      </c>
      <c r="C18" s="16"/>
      <c r="D18" s="14" t="s">
        <v>109</v>
      </c>
      <c r="E18" s="11"/>
    </row>
    <row r="19" spans="1:5" ht="19.5" customHeight="1">
      <c r="A19" s="15" t="s">
        <v>273</v>
      </c>
      <c r="B19" s="18">
        <v>441.8</v>
      </c>
      <c r="C19" s="16"/>
      <c r="D19" s="17"/>
      <c r="E19" s="11"/>
    </row>
    <row r="20" spans="1:5" ht="19.5" customHeight="1">
      <c r="A20" s="15" t="s">
        <v>274</v>
      </c>
      <c r="B20" s="18">
        <f>D20*C5</f>
        <v>13.451999999999998</v>
      </c>
      <c r="C20" s="16"/>
      <c r="D20" s="19">
        <v>0.015</v>
      </c>
      <c r="E20" s="11"/>
    </row>
    <row r="21" spans="1:5" ht="19.5" customHeight="1">
      <c r="A21" s="15" t="s">
        <v>275</v>
      </c>
      <c r="B21" s="18">
        <f>B19+B20</f>
        <v>455.252</v>
      </c>
      <c r="C21" s="16"/>
      <c r="D21" s="17"/>
      <c r="E21" s="11"/>
    </row>
    <row r="22" spans="1:5" ht="19.5" customHeight="1">
      <c r="A22" s="15" t="s">
        <v>276</v>
      </c>
      <c r="B22" s="18">
        <v>0.9</v>
      </c>
      <c r="C22" s="16"/>
      <c r="D22" s="17"/>
      <c r="E22" s="11"/>
    </row>
    <row r="23" spans="1:5" ht="19.5" customHeight="1">
      <c r="A23" s="15" t="s">
        <v>277</v>
      </c>
      <c r="B23" s="18">
        <f>D23*C5</f>
        <v>4.484</v>
      </c>
      <c r="C23" s="16"/>
      <c r="D23" s="19">
        <v>0.005</v>
      </c>
      <c r="E23" s="11"/>
    </row>
    <row r="24" spans="1:5" ht="19.5" customHeight="1">
      <c r="A24" s="15" t="s">
        <v>278</v>
      </c>
      <c r="B24" s="18">
        <f>B21-B22+B23</f>
        <v>458.836</v>
      </c>
      <c r="C24" s="16"/>
      <c r="D24" s="38">
        <f>B24/C5</f>
        <v>0.5116369313113293</v>
      </c>
      <c r="E24" s="11"/>
    </row>
    <row r="25" spans="1:5" ht="19.5" customHeight="1">
      <c r="A25" s="15" t="s">
        <v>141</v>
      </c>
      <c r="B25" s="18">
        <f>C5-B24</f>
        <v>437.96399999999994</v>
      </c>
      <c r="C25" s="16"/>
      <c r="D25" s="38">
        <f>B25/C5</f>
        <v>0.4883630686886708</v>
      </c>
      <c r="E25" s="11"/>
    </row>
    <row r="26" spans="1:5" ht="19.5" customHeight="1">
      <c r="A26" s="15" t="s">
        <v>142</v>
      </c>
      <c r="B26" s="18">
        <f>B13*D26</f>
        <v>16.066399999999998</v>
      </c>
      <c r="C26" s="16"/>
      <c r="D26" s="19">
        <v>0.04</v>
      </c>
      <c r="E26" s="11"/>
    </row>
    <row r="27" spans="1:5" ht="19.5" customHeight="1" thickBot="1">
      <c r="A27" s="20" t="s">
        <v>143</v>
      </c>
      <c r="B27" s="22">
        <f>B25+B26</f>
        <v>454.03039999999993</v>
      </c>
      <c r="C27" s="21"/>
      <c r="D27" s="23">
        <f>B27/C5</f>
        <v>0.5062783229259589</v>
      </c>
      <c r="E27" s="11"/>
    </row>
    <row r="28" spans="1:5" ht="19.5" customHeight="1" thickBot="1">
      <c r="A28" s="39"/>
      <c r="B28" s="34"/>
      <c r="C28" s="40"/>
      <c r="D28" s="41"/>
      <c r="E28" s="11"/>
    </row>
    <row r="29" spans="1:5" ht="19.5" customHeight="1">
      <c r="A29" s="42"/>
      <c r="B29" s="37"/>
      <c r="C29" s="43"/>
      <c r="D29" s="9" t="s">
        <v>104</v>
      </c>
      <c r="E29" s="11"/>
    </row>
    <row r="30" spans="1:5" ht="19.5" customHeight="1">
      <c r="A30" s="12" t="s">
        <v>208</v>
      </c>
      <c r="B30" s="44" t="s">
        <v>214</v>
      </c>
      <c r="C30" s="16"/>
      <c r="D30" s="14" t="s">
        <v>109</v>
      </c>
      <c r="E30" s="11"/>
    </row>
    <row r="31" spans="1:5" ht="19.5" customHeight="1">
      <c r="A31" s="15" t="s">
        <v>144</v>
      </c>
      <c r="B31" s="18">
        <f>D31*C5</f>
        <v>35.872</v>
      </c>
      <c r="C31" s="16"/>
      <c r="D31" s="19">
        <v>0.04</v>
      </c>
      <c r="E31" s="11"/>
    </row>
    <row r="32" spans="1:5" ht="19.5" customHeight="1">
      <c r="A32" s="15" t="s">
        <v>145</v>
      </c>
      <c r="B32" s="18">
        <f>C5*D32</f>
        <v>107.61599999999999</v>
      </c>
      <c r="C32" s="16"/>
      <c r="D32" s="19">
        <v>0.12</v>
      </c>
      <c r="E32" s="11"/>
    </row>
    <row r="33" spans="1:5" ht="19.5" customHeight="1">
      <c r="A33" s="15" t="s">
        <v>146</v>
      </c>
      <c r="B33" s="18">
        <f>C5*D33</f>
        <v>53.80799999999999</v>
      </c>
      <c r="C33" s="16"/>
      <c r="D33" s="19">
        <v>0.06</v>
      </c>
      <c r="E33" s="11"/>
    </row>
    <row r="34" spans="1:5" ht="19.5" customHeight="1">
      <c r="A34" s="15" t="s">
        <v>147</v>
      </c>
      <c r="B34" s="18">
        <f>C5*D34</f>
        <v>22.42</v>
      </c>
      <c r="C34" s="16"/>
      <c r="D34" s="19">
        <v>0.025</v>
      </c>
      <c r="E34" s="11"/>
    </row>
    <row r="35" spans="1:5" ht="19.5" customHeight="1">
      <c r="A35" s="15" t="s">
        <v>148</v>
      </c>
      <c r="B35" s="18">
        <f>C5*D35</f>
        <v>49.324</v>
      </c>
      <c r="C35" s="16"/>
      <c r="D35" s="19">
        <v>0.055</v>
      </c>
      <c r="E35" s="11"/>
    </row>
    <row r="36" spans="1:5" ht="19.5" customHeight="1" thickBot="1">
      <c r="A36" s="20" t="s">
        <v>149</v>
      </c>
      <c r="B36" s="22">
        <f>SUM(B31:B35)</f>
        <v>269.04</v>
      </c>
      <c r="C36" s="21"/>
      <c r="D36" s="23">
        <f>SUM(D31:D35)</f>
        <v>0.3</v>
      </c>
      <c r="E36" s="11"/>
    </row>
    <row r="37" spans="1:5" s="46" customFormat="1" ht="19.5" customHeight="1" thickBot="1">
      <c r="A37" s="45"/>
      <c r="B37" s="34"/>
      <c r="C37" s="40"/>
      <c r="D37" s="41"/>
      <c r="E37" s="45"/>
    </row>
    <row r="38" spans="1:5" s="6" customFormat="1" ht="19.5" customHeight="1" thickBot="1">
      <c r="A38" s="47" t="s">
        <v>206</v>
      </c>
      <c r="B38" s="48">
        <f>B27-B36</f>
        <v>184.9903999999999</v>
      </c>
      <c r="C38" s="49"/>
      <c r="D38" s="50">
        <f>B38/C5</f>
        <v>0.20627832292595888</v>
      </c>
      <c r="E38" s="10"/>
    </row>
    <row r="39" spans="1:5" ht="12">
      <c r="A39" s="11"/>
      <c r="B39" s="11"/>
      <c r="C39" s="11"/>
      <c r="D39" s="11"/>
      <c r="E39" s="11"/>
    </row>
  </sheetData>
  <sheetProtection/>
  <printOptions/>
  <pageMargins left="0.25" right="0.25" top="0.5" bottom="0" header="0.5" footer="0.5"/>
  <pageSetup fitToHeight="1" fitToWidth="1" horizontalDpi="300" verticalDpi="300" orientation="portrait" scale="9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Celeste</dc:creator>
  <cp:keywords/>
  <dc:description/>
  <cp:lastModifiedBy>Deanna Meyer</cp:lastModifiedBy>
  <cp:lastPrinted>2010-09-25T04:28:11Z</cp:lastPrinted>
  <dcterms:created xsi:type="dcterms:W3CDTF">2002-02-18T03:55:51Z</dcterms:created>
  <dcterms:modified xsi:type="dcterms:W3CDTF">2010-10-06T15:10:59Z</dcterms:modified>
  <cp:category/>
  <cp:version/>
  <cp:contentType/>
  <cp:contentStatus/>
</cp:coreProperties>
</file>