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20" windowWidth="12120" windowHeight="8700" activeTab="1"/>
  </bookViews>
  <sheets>
    <sheet name="Sheet1" sheetId="1" r:id="rId1"/>
    <sheet name="March" sheetId="2" r:id="rId2"/>
    <sheet name="April" sheetId="3" r:id="rId3"/>
    <sheet name="May" sheetId="4" r:id="rId4"/>
    <sheet name="June" sheetId="5" r:id="rId5"/>
    <sheet name="July" sheetId="6" r:id="rId6"/>
    <sheet name="Current" sheetId="7" r:id="rId7"/>
    <sheet name="Aug" sheetId="8" r:id="rId8"/>
    <sheet name="WAX PVA Per Person" sheetId="9" r:id="rId9"/>
    <sheet name="Monoshell PVA Per Person" sheetId="10" r:id="rId10"/>
    <sheet name="Casting PVA Per Person" sheetId="11" r:id="rId11"/>
    <sheet name="Post Cast PVA Per Person" sheetId="12" r:id="rId12"/>
    <sheet name="Finish PVA Per Person " sheetId="13" r:id="rId13"/>
    <sheet name="FPI PVA Per Person " sheetId="14" r:id="rId14"/>
    <sheet name="X-ray PVA Per Person " sheetId="15" r:id="rId15"/>
    <sheet name="Ship PVA Per Person " sheetId="16" r:id="rId16"/>
    <sheet name="Total PVA Per Person " sheetId="17" r:id="rId17"/>
    <sheet name="DATA" sheetId="18" r:id="rId18"/>
    <sheet name="HSC Sales Value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'March'!$A$3:$J$80</definedName>
    <definedName name="_xlnm.Print_Titles" localSheetId="1">'March'!$A:$A,'March'!$3:$3</definedName>
  </definedNames>
  <calcPr fullCalcOnLoad="1"/>
</workbook>
</file>

<file path=xl/comments1.xml><?xml version="1.0" encoding="utf-8"?>
<comments xmlns="http://schemas.openxmlformats.org/spreadsheetml/2006/main">
  <authors>
    <author>clappbl</author>
    <author>severpj</author>
  </authors>
  <commentList>
    <comment ref="A4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3,5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6</t>
        </r>
      </text>
    </comment>
    <comment ref="A10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10,11, 12, 14</t>
        </r>
      </text>
    </comment>
    <comment ref="A13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15, 16, 17, 30</t>
        </r>
      </text>
    </comment>
    <comment ref="A16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18, 19, 21, 25, 31, 32</t>
        </r>
      </text>
    </comment>
    <comment ref="A19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29</t>
        </r>
      </text>
    </comment>
    <comment ref="A22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26</t>
        </r>
      </text>
    </comment>
    <comment ref="A31" authorId="0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34, 91, 92</t>
        </r>
      </text>
    </comment>
    <comment ref="P34" authorId="1">
      <text>
        <r>
          <rPr>
            <b/>
            <sz val="11"/>
            <rFont val="Tahoma"/>
            <family val="2"/>
          </rPr>
          <t>severpj: PVA on actual in spending P&amp;L includes scrap variance COP portion of the DL and VO. The numbers in this PVA total does not include the scrap Variance COP portion.</t>
        </r>
        <r>
          <rPr>
            <sz val="10"/>
            <rFont val="Tahoma"/>
            <family val="2"/>
          </rPr>
          <t xml:space="preserve">
</t>
        </r>
      </text>
    </comment>
    <comment ref="L34" authorId="1">
      <text>
        <r>
          <rPr>
            <b/>
            <sz val="11"/>
            <rFont val="Tahoma"/>
            <family val="2"/>
          </rPr>
          <t>severpj: PVA on actual in spending P&amp;L includes scrap variance COP portion of the DL and VO. The numbers in this PVA total does not include the scrap Variance COP portion.</t>
        </r>
      </text>
    </comment>
    <comment ref="T34" authorId="1">
      <text>
        <r>
          <rPr>
            <b/>
            <sz val="11"/>
            <rFont val="Tahoma"/>
            <family val="2"/>
          </rPr>
          <t>severpj: PVA on actual in spending P&amp;L includes scrap variance COP portion of the DL and VO. The numbers in this PVA total does not include the scrap Variance COP portion.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thomaml</author>
    <author>severpj</author>
    <author>clappbl</author>
  </authors>
  <commentList>
    <comment ref="B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C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F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G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Q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U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9191</t>
        </r>
      </text>
    </comment>
    <comment ref="X3" authorId="1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D1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</text>
    </comment>
    <comment ref="E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15,16,17, 30</t>
        </r>
      </text>
    </comment>
    <comment ref="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
</t>
        </r>
      </text>
    </comment>
    <comment ref="I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  <comment ref="Y3" authorId="2">
      <text>
        <r>
          <rPr>
            <b/>
            <sz val="8"/>
            <rFont val="Tahoma"/>
            <family val="0"/>
          </rPr>
          <t>clappbl:
FC</t>
        </r>
        <r>
          <rPr>
            <sz val="8"/>
            <rFont val="Tahoma"/>
            <family val="0"/>
          </rPr>
          <t xml:space="preserve">
=(DM X 50%) + outplant</t>
        </r>
      </text>
    </comment>
    <comment ref="Z3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=DM X 50%</t>
        </r>
      </text>
    </comment>
    <comment ref="AB3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FC  Product rev-STD prod margin</t>
        </r>
      </text>
    </comment>
    <comment ref="AT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AU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AV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A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15,16,17, 30</t>
        </r>
      </text>
    </comment>
    <comment ref="AX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AY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AZ7" authorId="0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BA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</commentList>
</comments>
</file>

<file path=xl/comments3.xml><?xml version="1.0" encoding="utf-8"?>
<comments xmlns="http://schemas.openxmlformats.org/spreadsheetml/2006/main">
  <authors>
    <author>severpj</author>
    <author>thomaml</author>
    <author>clappbl</author>
  </authors>
  <commentLis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E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32, 92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I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</t>
        </r>
      </text>
    </comment>
    <comment ref="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
</t>
        </r>
      </text>
    </comment>
  </commentList>
</comments>
</file>

<file path=xl/comments4.xml><?xml version="1.0" encoding="utf-8"?>
<comments xmlns="http://schemas.openxmlformats.org/spreadsheetml/2006/main">
  <authors>
    <author>severpj</author>
    <author>thomaml</author>
    <author>clappbl</author>
  </authors>
  <commentLis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E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32, 92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I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  <comment ref="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</commentList>
</comments>
</file>

<file path=xl/comments5.xml><?xml version="1.0" encoding="utf-8"?>
<comments xmlns="http://schemas.openxmlformats.org/spreadsheetml/2006/main">
  <authors>
    <author>severpj</author>
    <author>thomaml</author>
    <author>clappbl</author>
  </authors>
  <commentLis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32, 92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E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15, 16, 17, 30
</t>
        </r>
      </text>
    </comment>
    <comment ref="I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  <comment ref="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</commentList>
</comments>
</file>

<file path=xl/comments6.xml><?xml version="1.0" encoding="utf-8"?>
<comments xmlns="http://schemas.openxmlformats.org/spreadsheetml/2006/main">
  <authors>
    <author>severpj</author>
    <author>thomaml</author>
  </authors>
  <commentList>
    <comment ref="Q1" authorId="0">
      <text>
        <r>
          <rPr>
            <b/>
            <sz val="9"/>
            <rFont val="Tahoma"/>
            <family val="2"/>
          </rPr>
          <t>severpj:</t>
        </r>
        <r>
          <rPr>
            <sz val="9"/>
            <rFont val="Tahoma"/>
            <family val="2"/>
          </rPr>
          <t xml:space="preserve">
comes from forecast run CFB609</t>
        </r>
      </text>
    </commen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E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A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A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A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AI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</t>
        </r>
      </text>
    </comment>
    <comment ref="AJ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AK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</commentList>
</comments>
</file>

<file path=xl/comments7.xml><?xml version="1.0" encoding="utf-8"?>
<comments xmlns="http://schemas.openxmlformats.org/spreadsheetml/2006/main">
  <authors>
    <author>severpj</author>
    <author>thomaml</author>
    <author>clappbl</author>
  </authors>
  <commentLis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E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32, 92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05, 91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32, 92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X5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number of working days</t>
        </r>
      </text>
    </comment>
    <comment ref="I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  <comment ref="W7" authorId="2">
      <text>
        <r>
          <rPr>
            <b/>
            <sz val="8"/>
            <rFont val="Tahoma"/>
            <family val="0"/>
          </rPr>
          <t>clappbl:</t>
        </r>
        <r>
          <rPr>
            <sz val="8"/>
            <rFont val="Tahoma"/>
            <family val="0"/>
          </rPr>
          <t xml:space="preserve">
34</t>
        </r>
      </text>
    </comment>
  </commentList>
</comments>
</file>

<file path=xl/comments8.xml><?xml version="1.0" encoding="utf-8"?>
<comments xmlns="http://schemas.openxmlformats.org/spreadsheetml/2006/main">
  <authors>
    <author>severpj</author>
    <author>thomaml</author>
  </authors>
  <commentList>
    <comment ref="Q1" authorId="0">
      <text>
        <r>
          <rPr>
            <b/>
            <sz val="9"/>
            <rFont val="Tahoma"/>
            <family val="2"/>
          </rPr>
          <t>severpj:</t>
        </r>
        <r>
          <rPr>
            <sz val="9"/>
            <rFont val="Tahoma"/>
            <family val="2"/>
          </rPr>
          <t xml:space="preserve">
comes from forecast run CFB609</t>
        </r>
      </text>
    </comment>
    <comment ref="X3" authorId="0">
      <text>
        <r>
          <rPr>
            <b/>
            <sz val="8"/>
            <rFont val="Tahoma"/>
            <family val="0"/>
          </rPr>
          <t>severpj:</t>
        </r>
        <r>
          <rPr>
            <sz val="8"/>
            <rFont val="Tahoma"/>
            <family val="0"/>
          </rPr>
          <t xml:space="preserve">
PVA for DL/VO from Spending P&amp;L fcst
</t>
        </r>
      </text>
    </comment>
    <comment ref="B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</t>
        </r>
      </text>
    </comment>
    <comment ref="C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D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E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</t>
        </r>
      </text>
    </comment>
    <comment ref="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P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03, 05</t>
        </r>
      </text>
    </comment>
    <comment ref="Q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R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S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T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31, 32</t>
        </r>
      </text>
    </comment>
    <comment ref="U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V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  <comment ref="AF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06</t>
        </r>
      </text>
    </comment>
    <comment ref="AG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10, 11, 12, 14</t>
        </r>
      </text>
    </comment>
    <comment ref="AH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15, 16, 17, 30</t>
        </r>
      </text>
    </comment>
    <comment ref="AI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18, 19, 21, 25, 30, 31, 32</t>
        </r>
      </text>
    </comment>
    <comment ref="AJ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29</t>
        </r>
      </text>
    </comment>
    <comment ref="AK7" authorId="1">
      <text>
        <r>
          <rPr>
            <b/>
            <sz val="8"/>
            <rFont val="Tahoma"/>
            <family val="0"/>
          </rPr>
          <t>thomaml:</t>
        </r>
        <r>
          <rPr>
            <sz val="8"/>
            <rFont val="Tahoma"/>
            <family val="0"/>
          </rPr>
          <t xml:space="preserve">
DEPT: 26</t>
        </r>
      </text>
    </comment>
  </commentList>
</comments>
</file>

<file path=xl/sharedStrings.xml><?xml version="1.0" encoding="utf-8"?>
<sst xmlns="http://schemas.openxmlformats.org/spreadsheetml/2006/main" count="756" uniqueCount="211">
  <si>
    <t>Total</t>
  </si>
  <si>
    <t>Final Cell</t>
  </si>
  <si>
    <t xml:space="preserve"> </t>
  </si>
  <si>
    <t>MONTH ACTUAL TOTAL</t>
  </si>
  <si>
    <t>Month-To-Date Target</t>
  </si>
  <si>
    <t>Over(Under) Target</t>
  </si>
  <si>
    <t>JOB NO.</t>
  </si>
  <si>
    <t>CUSTOMER</t>
  </si>
  <si>
    <t>type</t>
  </si>
  <si>
    <t>S/P</t>
  </si>
  <si>
    <t>PW EH</t>
  </si>
  <si>
    <t>SA</t>
  </si>
  <si>
    <t>PW FLA</t>
  </si>
  <si>
    <t>GE Lynn</t>
  </si>
  <si>
    <t>MHI</t>
  </si>
  <si>
    <t>Rocketdyne</t>
  </si>
  <si>
    <t>Major Tool</t>
  </si>
  <si>
    <t>Snecma</t>
  </si>
  <si>
    <t>Volvo CRF</t>
  </si>
  <si>
    <t>Volvo IPT HUB</t>
  </si>
  <si>
    <t>Rolls Royce</t>
  </si>
  <si>
    <t>Volvo IPT OC</t>
  </si>
  <si>
    <t>Volvo GENEX TRF</t>
  </si>
  <si>
    <t>Shell</t>
  </si>
  <si>
    <t>Vought</t>
  </si>
  <si>
    <t>Ti</t>
  </si>
  <si>
    <t>P3</t>
  </si>
  <si>
    <t>PWC</t>
  </si>
  <si>
    <t>10560 @ Mold Prep &amp; 10560 @Rough</t>
  </si>
  <si>
    <t>Bell</t>
  </si>
  <si>
    <t>Boeing Wichita</t>
  </si>
  <si>
    <t>39695 @ P3 &amp; 39695 @ Final</t>
  </si>
  <si>
    <t>Famot / GE</t>
  </si>
  <si>
    <t>212034 @ Shell &amp; 106017 @ Rough</t>
  </si>
  <si>
    <t>Boeing / HPO</t>
  </si>
  <si>
    <t>Volvo GENEX FH</t>
  </si>
  <si>
    <t>BAE</t>
  </si>
  <si>
    <t>Pratt 6000 ICC</t>
  </si>
  <si>
    <t>Bell Weld Plates</t>
  </si>
  <si>
    <t>Famot Weld Plates</t>
  </si>
  <si>
    <t>MONOSHELL</t>
  </si>
  <si>
    <t>CASTINGS</t>
  </si>
  <si>
    <t>X-RAY</t>
  </si>
  <si>
    <t xml:space="preserve">WAX </t>
  </si>
  <si>
    <t xml:space="preserve">FPI </t>
  </si>
  <si>
    <t>POST CAST</t>
  </si>
  <si>
    <t>FINISH</t>
  </si>
  <si>
    <t>OTHER</t>
  </si>
  <si>
    <t>LaPorte HLC</t>
  </si>
  <si>
    <t>PRODUCTION VALUE ADD</t>
  </si>
  <si>
    <t>Total Plant Std COS</t>
  </si>
  <si>
    <t>PVA As % of Std COS</t>
  </si>
  <si>
    <t>PRODUCTION VALUE ADD - Targets</t>
  </si>
  <si>
    <t>PRODUCTION VALUE ADD - Actual vs Target</t>
  </si>
  <si>
    <t>Total DL/VO</t>
  </si>
  <si>
    <t>Total PVA</t>
  </si>
  <si>
    <t>LCZZ</t>
  </si>
  <si>
    <t>LCDZ</t>
  </si>
  <si>
    <t>LCEZ</t>
  </si>
  <si>
    <t>LCCZ</t>
  </si>
  <si>
    <t>WAX</t>
  </si>
  <si>
    <t>TOTAL MTD PVA</t>
  </si>
  <si>
    <t>Date</t>
  </si>
  <si>
    <t>PVA as a % of COS</t>
  </si>
  <si>
    <t>TOTAL MTD COS</t>
  </si>
  <si>
    <t>HLC - PVA per Employee</t>
  </si>
  <si>
    <t>Dept</t>
  </si>
  <si>
    <t>Productivity Measure</t>
  </si>
  <si>
    <t>Jan Act</t>
  </si>
  <si>
    <t>Jan Plan</t>
  </si>
  <si>
    <t>Delta act vs plan</t>
  </si>
  <si>
    <t>Feb Act</t>
  </si>
  <si>
    <t>Feb Fcst</t>
  </si>
  <si>
    <t>Feb Plan</t>
  </si>
  <si>
    <t>Feb FTE at Plan</t>
  </si>
  <si>
    <t>Mar Fcst</t>
  </si>
  <si>
    <t>Mar Plan</t>
  </si>
  <si>
    <t>Q1 Act/Fcst Avg</t>
  </si>
  <si>
    <t>Q1 Plan Avg</t>
  </si>
  <si>
    <t>Q1 FTE @ Plan</t>
  </si>
  <si>
    <t>Delta</t>
  </si>
  <si>
    <t>Temps</t>
  </si>
  <si>
    <t>Avg Attrition</t>
  </si>
  <si>
    <t>Months to Adjust</t>
  </si>
  <si>
    <t>Wax</t>
  </si>
  <si>
    <t xml:space="preserve">Value Add </t>
  </si>
  <si>
    <t>Headcount</t>
  </si>
  <si>
    <t>PVA per Person</t>
  </si>
  <si>
    <t>Monoshell</t>
  </si>
  <si>
    <t>Castings</t>
  </si>
  <si>
    <t>Post Cast</t>
  </si>
  <si>
    <t>Finish</t>
  </si>
  <si>
    <t>FPI</t>
  </si>
  <si>
    <t>X-ray</t>
  </si>
  <si>
    <t>Material</t>
  </si>
  <si>
    <t>Outplant</t>
  </si>
  <si>
    <t>total PVA Jan plan</t>
  </si>
  <si>
    <t>total PVA Feb plan</t>
  </si>
  <si>
    <t>total PVA Feb Fcst</t>
  </si>
  <si>
    <t>total dl/vo Feb plan</t>
  </si>
  <si>
    <t>total dl/vo Feb Fcst</t>
  </si>
  <si>
    <t>total dl/vo Feb act</t>
  </si>
  <si>
    <t>total dl/vo Mar Fcst</t>
  </si>
  <si>
    <t>total dl/vo Mar Plan</t>
  </si>
  <si>
    <t>total pva Mar fcst</t>
  </si>
  <si>
    <t>wax</t>
  </si>
  <si>
    <t>monoshell</t>
  </si>
  <si>
    <t>castings</t>
  </si>
  <si>
    <t>post cast</t>
  </si>
  <si>
    <t>finsih</t>
  </si>
  <si>
    <t xml:space="preserve">fpi </t>
  </si>
  <si>
    <t>xray</t>
  </si>
  <si>
    <t>Mar Act</t>
  </si>
  <si>
    <t>ALLOY</t>
  </si>
  <si>
    <t>RAW MAT/OUTPLANT</t>
  </si>
  <si>
    <t>total dl/vo Jan PLAN</t>
  </si>
  <si>
    <t>total dl/vo Jan ACT</t>
  </si>
  <si>
    <t>update manually-Act. Std COS &amp; MTD Target</t>
  </si>
  <si>
    <t>total PVA Mar act</t>
  </si>
  <si>
    <t>total PVA Apr plan</t>
  </si>
  <si>
    <t>April Act</t>
  </si>
  <si>
    <t>April Fcst</t>
  </si>
  <si>
    <t>April Plan</t>
  </si>
  <si>
    <t>Q2 Act/Fcst Avg</t>
  </si>
  <si>
    <t>Q2 Plan Avg</t>
  </si>
  <si>
    <t>Q2 FTE @ Plan</t>
  </si>
  <si>
    <t>Q3 Act/Fcst Avg</t>
  </si>
  <si>
    <t>Q3 Plan Avg</t>
  </si>
  <si>
    <t>Q3 FTE @ Plan</t>
  </si>
  <si>
    <t>Q4 Act/Fcst Avg</t>
  </si>
  <si>
    <t>Q4 Plan Avg</t>
  </si>
  <si>
    <t>Q4 FTE @ Plan</t>
  </si>
  <si>
    <t>YTD Act/Fcst Avg</t>
  </si>
  <si>
    <t>YTD Plan Avg</t>
  </si>
  <si>
    <t>YTD FTE @ Plan</t>
  </si>
  <si>
    <t>May Act</t>
  </si>
  <si>
    <t>May Fcst</t>
  </si>
  <si>
    <t>May Plan</t>
  </si>
  <si>
    <t>June Act</t>
  </si>
  <si>
    <t>June Plan</t>
  </si>
  <si>
    <t>July Act</t>
  </si>
  <si>
    <t>July Fcst</t>
  </si>
  <si>
    <t>July Plan</t>
  </si>
  <si>
    <t>Aug Act</t>
  </si>
  <si>
    <t>Aug Fcst</t>
  </si>
  <si>
    <t>Aug Plan</t>
  </si>
  <si>
    <t>Sept Act</t>
  </si>
  <si>
    <t>Sept Fcst</t>
  </si>
  <si>
    <t>Sept Plan</t>
  </si>
  <si>
    <t>Oct Act</t>
  </si>
  <si>
    <t>Oct Fcst</t>
  </si>
  <si>
    <t>Oct Plan</t>
  </si>
  <si>
    <t>Nov Act</t>
  </si>
  <si>
    <t>Nov Fcst</t>
  </si>
  <si>
    <t>Nov Plan</t>
  </si>
  <si>
    <t>Dec Act</t>
  </si>
  <si>
    <t>Dec Fcst</t>
  </si>
  <si>
    <t>Dec Plan</t>
  </si>
  <si>
    <t>total PVA Apr Fcst</t>
  </si>
  <si>
    <t>Direct Labor hrs-Fcst</t>
  </si>
  <si>
    <t>% to total fcst hrs</t>
  </si>
  <si>
    <t>March 2008</t>
  </si>
  <si>
    <t>APRIL 2008</t>
  </si>
  <si>
    <t>MAY 2008</t>
  </si>
  <si>
    <t>JUNE 2008</t>
  </si>
  <si>
    <t>JULY 2008</t>
  </si>
  <si>
    <t>AUGUST 2008</t>
  </si>
  <si>
    <t>total PVA May Plan</t>
  </si>
  <si>
    <t>total PVA June Plan</t>
  </si>
  <si>
    <t>Other</t>
  </si>
  <si>
    <t>June</t>
  </si>
  <si>
    <t>Xray</t>
  </si>
  <si>
    <t>YTD</t>
  </si>
  <si>
    <t>Actual</t>
  </si>
  <si>
    <t>Plan</t>
  </si>
  <si>
    <t>Wax-Plan</t>
  </si>
  <si>
    <t>Wax-Actual</t>
  </si>
  <si>
    <t>Monoshell-Actual</t>
  </si>
  <si>
    <t>Monoshell-Plan</t>
  </si>
  <si>
    <t>Cast-Actual</t>
  </si>
  <si>
    <t>Cast-Plan</t>
  </si>
  <si>
    <t>Post Cast-Actual</t>
  </si>
  <si>
    <t>Post Cast-Plan</t>
  </si>
  <si>
    <t>Forecast</t>
  </si>
  <si>
    <t>Wax-Forecast</t>
  </si>
  <si>
    <t>Finish-Actual</t>
  </si>
  <si>
    <t>FPI-Actual</t>
  </si>
  <si>
    <t>Xray-Actual</t>
  </si>
  <si>
    <t>Total-Actual</t>
  </si>
  <si>
    <t>Finish-Plan</t>
  </si>
  <si>
    <t>FPI-Plan</t>
  </si>
  <si>
    <t>Xray-Plan</t>
  </si>
  <si>
    <t>Total-Plan</t>
  </si>
  <si>
    <t>Mar-May Avg</t>
  </si>
  <si>
    <t>scrap COP</t>
  </si>
  <si>
    <t>COS994</t>
  </si>
  <si>
    <t>Ship</t>
  </si>
  <si>
    <t>Ship-Actual</t>
  </si>
  <si>
    <t>Ship-Plan</t>
  </si>
  <si>
    <t>total PVA July plan</t>
  </si>
  <si>
    <t>total dl/vo Mar act</t>
  </si>
  <si>
    <t>May</t>
  </si>
  <si>
    <t>Mar</t>
  </si>
  <si>
    <t>Apr</t>
  </si>
  <si>
    <t>SHIP</t>
  </si>
  <si>
    <t>tot</t>
  </si>
  <si>
    <t>total PVA Apr act</t>
  </si>
  <si>
    <t>total PVA May act</t>
  </si>
  <si>
    <t>total PVA June Act</t>
  </si>
  <si>
    <t>PRODUCTION VALUE ADD BY % - Actual vs Target</t>
  </si>
  <si>
    <t>PRODUCTION VALUE ADD % BY Dept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</si>
</sst>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_);_(&quot;$&quot;* \(#,##0\);_(&quot;$&quot;* &quot;-&quot;??_);_(@_)"/>
    <numFmt numFmtId="167" formatCode="#,##0.000_);\(#,##0.000\)"/>
    <numFmt numFmtId="168" formatCode="0_);[Red]\(0\)"/>
    <numFmt numFmtId="169" formatCode="&quot;$&quot;#,##0"/>
    <numFmt numFmtId="170" formatCode="0.00_);[Red]\(0.00\)"/>
    <numFmt numFmtId="171" formatCode="0.0%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d\,\ yyyy"/>
    <numFmt numFmtId="176" formatCode="00000"/>
    <numFmt numFmtId="177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2.75"/>
      <name val="Arial"/>
      <family val="0"/>
    </font>
    <font>
      <sz val="3"/>
      <name val="Arial"/>
      <family val="0"/>
    </font>
    <font>
      <b/>
      <sz val="3.5"/>
      <name val="Arial"/>
      <family val="0"/>
    </font>
    <font>
      <b/>
      <sz val="3"/>
      <name val="Arial"/>
      <family val="0"/>
    </font>
    <font>
      <sz val="18"/>
      <name val="Tahoma"/>
      <family val="2"/>
    </font>
    <font>
      <b/>
      <sz val="12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5" fillId="2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69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6" fontId="5" fillId="24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4" fontId="4" fillId="0" borderId="13" xfId="44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44" fontId="0" fillId="0" borderId="13" xfId="44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0" fillId="0" borderId="13" xfId="44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5" fontId="0" fillId="0" borderId="0" xfId="44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44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7" fillId="0" borderId="13" xfId="44" applyNumberFormat="1" applyFont="1" applyFill="1" applyBorder="1" applyAlignment="1">
      <alignment horizontal="center"/>
    </xf>
    <xf numFmtId="1" fontId="7" fillId="0" borderId="13" xfId="42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69" fontId="5" fillId="0" borderId="13" xfId="42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5" fillId="24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7" fillId="0" borderId="13" xfId="42" applyNumberFormat="1" applyFont="1" applyFill="1" applyBorder="1" applyAlignment="1">
      <alignment horizontal="center"/>
    </xf>
    <xf numFmtId="9" fontId="7" fillId="0" borderId="13" xfId="59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6" fillId="0" borderId="13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ill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69" fontId="7" fillId="20" borderId="13" xfId="44" applyNumberFormat="1" applyFont="1" applyFill="1" applyBorder="1" applyAlignment="1">
      <alignment horizontal="center"/>
    </xf>
    <xf numFmtId="169" fontId="7" fillId="20" borderId="13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3" fontId="7" fillId="22" borderId="13" xfId="44" applyNumberFormat="1" applyFont="1" applyFill="1" applyBorder="1" applyAlignment="1">
      <alignment horizontal="center"/>
    </xf>
    <xf numFmtId="3" fontId="0" fillId="22" borderId="13" xfId="0" applyNumberFormat="1" applyFill="1" applyBorder="1" applyAlignment="1">
      <alignment horizontal="center"/>
    </xf>
    <xf numFmtId="9" fontId="7" fillId="22" borderId="13" xfId="59" applyFont="1" applyFill="1" applyBorder="1" applyAlignment="1">
      <alignment horizontal="center"/>
    </xf>
    <xf numFmtId="10" fontId="0" fillId="22" borderId="13" xfId="0" applyNumberForma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3" xfId="0" applyFill="1" applyBorder="1" applyAlignment="1">
      <alignment/>
    </xf>
    <xf numFmtId="3" fontId="7" fillId="0" borderId="13" xfId="42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7" fillId="22" borderId="13" xfId="42" applyNumberFormat="1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20" borderId="18" xfId="0" applyFont="1" applyFill="1" applyBorder="1" applyAlignment="1">
      <alignment horizontal="center" wrapText="1"/>
    </xf>
    <xf numFmtId="0" fontId="33" fillId="20" borderId="19" xfId="0" applyFont="1" applyFill="1" applyBorder="1" applyAlignment="1">
      <alignment horizontal="center" wrapText="1"/>
    </xf>
    <xf numFmtId="0" fontId="33" fillId="20" borderId="20" xfId="0" applyFont="1" applyFill="1" applyBorder="1" applyAlignment="1">
      <alignment horizontal="center" wrapText="1"/>
    </xf>
    <xf numFmtId="0" fontId="33" fillId="20" borderId="21" xfId="0" applyFont="1" applyFill="1" applyBorder="1" applyAlignment="1">
      <alignment horizontal="center" wrapText="1"/>
    </xf>
    <xf numFmtId="0" fontId="33" fillId="4" borderId="21" xfId="0" applyFont="1" applyFill="1" applyBorder="1" applyAlignment="1">
      <alignment horizontal="center" wrapText="1"/>
    </xf>
    <xf numFmtId="0" fontId="33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1" fontId="33" fillId="24" borderId="24" xfId="42" applyNumberFormat="1" applyFont="1" applyFill="1" applyBorder="1" applyAlignment="1">
      <alignment/>
    </xf>
    <xf numFmtId="1" fontId="33" fillId="4" borderId="25" xfId="42" applyNumberFormat="1" applyFont="1" applyFill="1" applyBorder="1" applyAlignment="1">
      <alignment/>
    </xf>
    <xf numFmtId="168" fontId="33" fillId="25" borderId="25" xfId="42" applyNumberFormat="1" applyFont="1" applyFill="1" applyBorder="1" applyAlignment="1">
      <alignment/>
    </xf>
    <xf numFmtId="1" fontId="33" fillId="24" borderId="25" xfId="42" applyNumberFormat="1" applyFont="1" applyFill="1" applyBorder="1" applyAlignment="1">
      <alignment/>
    </xf>
    <xf numFmtId="1" fontId="33" fillId="7" borderId="25" xfId="42" applyNumberFormat="1" applyFont="1" applyFill="1" applyBorder="1" applyAlignment="1">
      <alignment/>
    </xf>
    <xf numFmtId="1" fontId="33" fillId="25" borderId="25" xfId="42" applyNumberFormat="1" applyFont="1" applyFill="1" applyBorder="1" applyAlignment="1">
      <alignment/>
    </xf>
    <xf numFmtId="172" fontId="33" fillId="25" borderId="22" xfId="42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0" fontId="33" fillId="0" borderId="26" xfId="0" applyFont="1" applyBorder="1" applyAlignment="1">
      <alignment/>
    </xf>
    <xf numFmtId="0" fontId="33" fillId="0" borderId="0" xfId="0" applyFont="1" applyBorder="1" applyAlignment="1">
      <alignment/>
    </xf>
    <xf numFmtId="1" fontId="33" fillId="24" borderId="27" xfId="42" applyNumberFormat="1" applyFont="1" applyFill="1" applyBorder="1" applyAlignment="1">
      <alignment/>
    </xf>
    <xf numFmtId="1" fontId="33" fillId="4" borderId="13" xfId="42" applyNumberFormat="1" applyFont="1" applyFill="1" applyBorder="1" applyAlignment="1">
      <alignment/>
    </xf>
    <xf numFmtId="168" fontId="33" fillId="25" borderId="13" xfId="42" applyNumberFormat="1" applyFont="1" applyFill="1" applyBorder="1" applyAlignment="1">
      <alignment/>
    </xf>
    <xf numFmtId="1" fontId="33" fillId="24" borderId="13" xfId="42" applyNumberFormat="1" applyFont="1" applyFill="1" applyBorder="1" applyAlignment="1">
      <alignment/>
    </xf>
    <xf numFmtId="1" fontId="33" fillId="7" borderId="13" xfId="42" applyNumberFormat="1" applyFont="1" applyFill="1" applyBorder="1" applyAlignment="1">
      <alignment/>
    </xf>
    <xf numFmtId="1" fontId="33" fillId="25" borderId="13" xfId="42" applyNumberFormat="1" applyFont="1" applyFill="1" applyBorder="1" applyAlignment="1">
      <alignment/>
    </xf>
    <xf numFmtId="172" fontId="33" fillId="25" borderId="26" xfId="42" applyNumberFormat="1" applyFont="1" applyFill="1" applyBorder="1" applyAlignment="1">
      <alignment/>
    </xf>
    <xf numFmtId="1" fontId="33" fillId="0" borderId="13" xfId="0" applyNumberFormat="1" applyFont="1" applyBorder="1" applyAlignment="1">
      <alignment/>
    </xf>
    <xf numFmtId="0" fontId="33" fillId="0" borderId="28" xfId="0" applyFont="1" applyBorder="1" applyAlignment="1">
      <alignment/>
    </xf>
    <xf numFmtId="0" fontId="0" fillId="0" borderId="29" xfId="0" applyBorder="1" applyAlignment="1">
      <alignment/>
    </xf>
    <xf numFmtId="2" fontId="33" fillId="24" borderId="30" xfId="42" applyNumberFormat="1" applyFont="1" applyFill="1" applyBorder="1" applyAlignment="1">
      <alignment/>
    </xf>
    <xf numFmtId="2" fontId="33" fillId="4" borderId="31" xfId="42" applyNumberFormat="1" applyFont="1" applyFill="1" applyBorder="1" applyAlignment="1">
      <alignment/>
    </xf>
    <xf numFmtId="170" fontId="33" fillId="25" borderId="31" xfId="42" applyNumberFormat="1" applyFont="1" applyFill="1" applyBorder="1" applyAlignment="1">
      <alignment/>
    </xf>
    <xf numFmtId="2" fontId="33" fillId="24" borderId="31" xfId="42" applyNumberFormat="1" applyFont="1" applyFill="1" applyBorder="1" applyAlignment="1">
      <alignment/>
    </xf>
    <xf numFmtId="1" fontId="33" fillId="7" borderId="31" xfId="42" applyNumberFormat="1" applyFont="1" applyFill="1" applyBorder="1" applyAlignment="1">
      <alignment/>
    </xf>
    <xf numFmtId="1" fontId="33" fillId="25" borderId="31" xfId="42" applyNumberFormat="1" applyFont="1" applyFill="1" applyBorder="1" applyAlignment="1">
      <alignment/>
    </xf>
    <xf numFmtId="2" fontId="33" fillId="7" borderId="31" xfId="42" applyNumberFormat="1" applyFont="1" applyFill="1" applyBorder="1" applyAlignment="1">
      <alignment/>
    </xf>
    <xf numFmtId="173" fontId="33" fillId="25" borderId="28" xfId="42" applyNumberFormat="1" applyFont="1" applyFill="1" applyBorder="1" applyAlignment="1">
      <alignment/>
    </xf>
    <xf numFmtId="1" fontId="0" fillId="0" borderId="32" xfId="0" applyNumberFormat="1" applyBorder="1" applyAlignment="1">
      <alignment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1" fontId="33" fillId="24" borderId="36" xfId="42" applyNumberFormat="1" applyFont="1" applyFill="1" applyBorder="1" applyAlignment="1">
      <alignment/>
    </xf>
    <xf numFmtId="1" fontId="33" fillId="4" borderId="36" xfId="42" applyNumberFormat="1" applyFont="1" applyFill="1" applyBorder="1" applyAlignment="1">
      <alignment/>
    </xf>
    <xf numFmtId="1" fontId="33" fillId="25" borderId="36" xfId="42" applyNumberFormat="1" applyFont="1" applyFill="1" applyBorder="1" applyAlignment="1">
      <alignment/>
    </xf>
    <xf numFmtId="1" fontId="33" fillId="4" borderId="31" xfId="42" applyNumberFormat="1" applyFont="1" applyFill="1" applyBorder="1" applyAlignment="1">
      <alignment/>
    </xf>
    <xf numFmtId="2" fontId="33" fillId="24" borderId="13" xfId="42" applyNumberFormat="1" applyFont="1" applyFill="1" applyBorder="1" applyAlignment="1">
      <alignment/>
    </xf>
    <xf numFmtId="2" fontId="33" fillId="24" borderId="21" xfId="42" applyNumberFormat="1" applyFont="1" applyFill="1" applyBorder="1" applyAlignment="1">
      <alignment/>
    </xf>
    <xf numFmtId="1" fontId="33" fillId="4" borderId="21" xfId="42" applyNumberFormat="1" applyFont="1" applyFill="1" applyBorder="1" applyAlignment="1">
      <alignment/>
    </xf>
    <xf numFmtId="1" fontId="33" fillId="25" borderId="21" xfId="42" applyNumberFormat="1" applyFont="1" applyFill="1" applyBorder="1" applyAlignment="1">
      <alignment/>
    </xf>
    <xf numFmtId="2" fontId="33" fillId="24" borderId="37" xfId="42" applyNumberFormat="1" applyFont="1" applyFill="1" applyBorder="1" applyAlignment="1">
      <alignment/>
    </xf>
    <xf numFmtId="1" fontId="33" fillId="24" borderId="32" xfId="42" applyNumberFormat="1" applyFont="1" applyFill="1" applyBorder="1" applyAlignment="1">
      <alignment/>
    </xf>
    <xf numFmtId="1" fontId="33" fillId="4" borderId="32" xfId="42" applyNumberFormat="1" applyFont="1" applyFill="1" applyBorder="1" applyAlignment="1">
      <alignment/>
    </xf>
    <xf numFmtId="1" fontId="33" fillId="7" borderId="32" xfId="42" applyNumberFormat="1" applyFont="1" applyFill="1" applyBorder="1" applyAlignment="1">
      <alignment/>
    </xf>
    <xf numFmtId="1" fontId="33" fillId="4" borderId="38" xfId="42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33" fillId="24" borderId="39" xfId="42" applyNumberFormat="1" applyFont="1" applyFill="1" applyBorder="1" applyAlignment="1">
      <alignment/>
    </xf>
    <xf numFmtId="10" fontId="0" fillId="0" borderId="40" xfId="0" applyNumberFormat="1" applyBorder="1" applyAlignment="1">
      <alignment horizontal="center"/>
    </xf>
    <xf numFmtId="1" fontId="33" fillId="4" borderId="39" xfId="42" applyNumberFormat="1" applyFont="1" applyFill="1" applyBorder="1" applyAlignment="1">
      <alignment/>
    </xf>
    <xf numFmtId="1" fontId="33" fillId="7" borderId="39" xfId="42" applyNumberFormat="1" applyFont="1" applyFill="1" applyBorder="1" applyAlignment="1">
      <alignment/>
    </xf>
    <xf numFmtId="1" fontId="33" fillId="24" borderId="41" xfId="42" applyNumberFormat="1" applyFont="1" applyFill="1" applyBorder="1" applyAlignment="1">
      <alignment/>
    </xf>
    <xf numFmtId="2" fontId="33" fillId="24" borderId="42" xfId="42" applyNumberFormat="1" applyFont="1" applyFill="1" applyBorder="1" applyAlignment="1">
      <alignment/>
    </xf>
    <xf numFmtId="2" fontId="33" fillId="4" borderId="42" xfId="42" applyNumberFormat="1" applyFont="1" applyFill="1" applyBorder="1" applyAlignment="1">
      <alignment/>
    </xf>
    <xf numFmtId="2" fontId="33" fillId="7" borderId="42" xfId="42" applyNumberFormat="1" applyFont="1" applyFill="1" applyBorder="1" applyAlignment="1">
      <alignment/>
    </xf>
    <xf numFmtId="43" fontId="33" fillId="25" borderId="28" xfId="42" applyNumberFormat="1" applyFont="1" applyFill="1" applyBorder="1" applyAlignment="1">
      <alignment/>
    </xf>
    <xf numFmtId="43" fontId="37" fillId="0" borderId="0" xfId="0" applyNumberFormat="1" applyFont="1" applyAlignment="1">
      <alignment/>
    </xf>
    <xf numFmtId="0" fontId="5" fillId="2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9" fontId="5" fillId="0" borderId="36" xfId="42" applyNumberFormat="1" applyFont="1" applyBorder="1" applyAlignment="1">
      <alignment horizontal="center"/>
    </xf>
    <xf numFmtId="169" fontId="5" fillId="0" borderId="36" xfId="42" applyNumberFormat="1" applyFont="1" applyFill="1" applyBorder="1" applyAlignment="1">
      <alignment horizontal="center"/>
    </xf>
    <xf numFmtId="169" fontId="5" fillId="20" borderId="36" xfId="42" applyNumberFormat="1" applyFont="1" applyFill="1" applyBorder="1" applyAlignment="1">
      <alignment horizontal="center"/>
    </xf>
    <xf numFmtId="10" fontId="5" fillId="0" borderId="36" xfId="42" applyNumberFormat="1" applyFont="1" applyBorder="1" applyAlignment="1">
      <alignment horizontal="center"/>
    </xf>
    <xf numFmtId="3" fontId="5" fillId="0" borderId="36" xfId="42" applyNumberFormat="1" applyFont="1" applyBorder="1" applyAlignment="1">
      <alignment horizontal="center"/>
    </xf>
    <xf numFmtId="169" fontId="5" fillId="0" borderId="40" xfId="42" applyNumberFormat="1" applyFon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69" fontId="5" fillId="0" borderId="13" xfId="44" applyNumberFormat="1" applyFont="1" applyBorder="1" applyAlignment="1">
      <alignment horizontal="center"/>
    </xf>
    <xf numFmtId="169" fontId="5" fillId="20" borderId="13" xfId="44" applyNumberFormat="1" applyFont="1" applyFill="1" applyBorder="1" applyAlignment="1">
      <alignment horizontal="center"/>
    </xf>
    <xf numFmtId="6" fontId="6" fillId="0" borderId="40" xfId="0" applyNumberFormat="1" applyFont="1" applyBorder="1" applyAlignment="1">
      <alignment horizontal="center"/>
    </xf>
    <xf numFmtId="6" fontId="6" fillId="20" borderId="4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72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10" fontId="37" fillId="0" borderId="43" xfId="0" applyNumberFormat="1" applyFont="1" applyBorder="1" applyAlignment="1">
      <alignment/>
    </xf>
    <xf numFmtId="0" fontId="38" fillId="20" borderId="44" xfId="0" applyFont="1" applyFill="1" applyBorder="1" applyAlignment="1">
      <alignment/>
    </xf>
    <xf numFmtId="0" fontId="38" fillId="20" borderId="45" xfId="0" applyFont="1" applyFill="1" applyBorder="1" applyAlignment="1">
      <alignment/>
    </xf>
    <xf numFmtId="0" fontId="39" fillId="0" borderId="0" xfId="0" applyFont="1" applyAlignment="1">
      <alignment/>
    </xf>
    <xf numFmtId="4" fontId="37" fillId="0" borderId="0" xfId="0" applyNumberFormat="1" applyFont="1" applyAlignment="1">
      <alignment/>
    </xf>
    <xf numFmtId="10" fontId="38" fillId="0" borderId="43" xfId="0" applyNumberFormat="1" applyFont="1" applyBorder="1" applyAlignment="1">
      <alignment/>
    </xf>
    <xf numFmtId="0" fontId="33" fillId="25" borderId="26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3" fillId="22" borderId="13" xfId="0" applyNumberFormat="1" applyFont="1" applyFill="1" applyBorder="1" applyAlignment="1">
      <alignment horizontal="center"/>
    </xf>
    <xf numFmtId="1" fontId="7" fillId="22" borderId="13" xfId="42" applyNumberFormat="1" applyFont="1" applyFill="1" applyBorder="1" applyAlignment="1">
      <alignment horizontal="center"/>
    </xf>
    <xf numFmtId="14" fontId="3" fillId="15" borderId="13" xfId="0" applyNumberFormat="1" applyFont="1" applyFill="1" applyBorder="1" applyAlignment="1">
      <alignment horizontal="center"/>
    </xf>
    <xf numFmtId="3" fontId="7" fillId="15" borderId="13" xfId="44" applyNumberFormat="1" applyFont="1" applyFill="1" applyBorder="1" applyAlignment="1">
      <alignment horizontal="center"/>
    </xf>
    <xf numFmtId="1" fontId="7" fillId="15" borderId="13" xfId="42" applyNumberFormat="1" applyFont="1" applyFill="1" applyBorder="1" applyAlignment="1">
      <alignment horizontal="center"/>
    </xf>
    <xf numFmtId="3" fontId="0" fillId="15" borderId="13" xfId="0" applyNumberFormat="1" applyFill="1" applyBorder="1" applyAlignment="1">
      <alignment horizontal="center"/>
    </xf>
    <xf numFmtId="9" fontId="7" fillId="15" borderId="13" xfId="59" applyFont="1" applyFill="1" applyBorder="1" applyAlignment="1">
      <alignment horizontal="center"/>
    </xf>
    <xf numFmtId="10" fontId="0" fillId="15" borderId="13" xfId="0" applyNumberForma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3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/>
    </xf>
    <xf numFmtId="0" fontId="33" fillId="20" borderId="46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37" fillId="17" borderId="47" xfId="0" applyFont="1" applyFill="1" applyBorder="1" applyAlignment="1">
      <alignment/>
    </xf>
    <xf numFmtId="9" fontId="37" fillId="0" borderId="0" xfId="0" applyNumberFormat="1" applyFont="1" applyAlignment="1">
      <alignment/>
    </xf>
    <xf numFmtId="1" fontId="33" fillId="17" borderId="24" xfId="42" applyNumberFormat="1" applyFont="1" applyFill="1" applyBorder="1" applyAlignment="1">
      <alignment/>
    </xf>
    <xf numFmtId="1" fontId="33" fillId="17" borderId="39" xfId="42" applyNumberFormat="1" applyFont="1" applyFill="1" applyBorder="1" applyAlignment="1">
      <alignment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1" fontId="0" fillId="0" borderId="0" xfId="59" applyNumberFormat="1" applyAlignment="1">
      <alignment/>
    </xf>
    <xf numFmtId="171" fontId="37" fillId="0" borderId="0" xfId="59" applyNumberFormat="1" applyFont="1" applyAlignment="1">
      <alignment/>
    </xf>
    <xf numFmtId="171" fontId="37" fillId="0" borderId="0" xfId="0" applyNumberFormat="1" applyFont="1" applyAlignment="1">
      <alignment/>
    </xf>
    <xf numFmtId="3" fontId="7" fillId="15" borderId="13" xfId="42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168" fontId="33" fillId="25" borderId="38" xfId="42" applyNumberFormat="1" applyFont="1" applyFill="1" applyBorder="1" applyAlignment="1">
      <alignment/>
    </xf>
    <xf numFmtId="168" fontId="33" fillId="25" borderId="32" xfId="42" applyNumberFormat="1" applyFont="1" applyFill="1" applyBorder="1" applyAlignment="1">
      <alignment/>
    </xf>
    <xf numFmtId="170" fontId="33" fillId="25" borderId="42" xfId="42" applyNumberFormat="1" applyFont="1" applyFill="1" applyBorder="1" applyAlignment="1">
      <alignment/>
    </xf>
    <xf numFmtId="168" fontId="33" fillId="25" borderId="36" xfId="42" applyNumberFormat="1" applyFont="1" applyFill="1" applyBorder="1" applyAlignment="1">
      <alignment/>
    </xf>
    <xf numFmtId="170" fontId="33" fillId="25" borderId="21" xfId="42" applyNumberFormat="1" applyFont="1" applyFill="1" applyBorder="1" applyAlignment="1">
      <alignment/>
    </xf>
    <xf numFmtId="168" fontId="33" fillId="25" borderId="39" xfId="42" applyNumberFormat="1" applyFont="1" applyFill="1" applyBorder="1" applyAlignment="1">
      <alignment/>
    </xf>
    <xf numFmtId="0" fontId="0" fillId="17" borderId="0" xfId="0" applyFill="1" applyAlignment="1">
      <alignment/>
    </xf>
    <xf numFmtId="168" fontId="33" fillId="24" borderId="38" xfId="42" applyNumberFormat="1" applyFont="1" applyFill="1" applyBorder="1" applyAlignment="1">
      <alignment/>
    </xf>
    <xf numFmtId="168" fontId="33" fillId="24" borderId="32" xfId="42" applyNumberFormat="1" applyFont="1" applyFill="1" applyBorder="1" applyAlignment="1">
      <alignment/>
    </xf>
    <xf numFmtId="170" fontId="33" fillId="24" borderId="42" xfId="42" applyNumberFormat="1" applyFont="1" applyFill="1" applyBorder="1" applyAlignment="1">
      <alignment/>
    </xf>
    <xf numFmtId="168" fontId="33" fillId="24" borderId="36" xfId="42" applyNumberFormat="1" applyFont="1" applyFill="1" applyBorder="1" applyAlignment="1">
      <alignment/>
    </xf>
    <xf numFmtId="168" fontId="33" fillId="24" borderId="13" xfId="42" applyNumberFormat="1" applyFont="1" applyFill="1" applyBorder="1" applyAlignment="1">
      <alignment/>
    </xf>
    <xf numFmtId="170" fontId="33" fillId="24" borderId="21" xfId="42" applyNumberFormat="1" applyFont="1" applyFill="1" applyBorder="1" applyAlignment="1">
      <alignment/>
    </xf>
    <xf numFmtId="168" fontId="33" fillId="24" borderId="39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37" fillId="0" borderId="0" xfId="0" applyNumberFormat="1" applyFont="1" applyFill="1" applyAlignment="1">
      <alignment/>
    </xf>
    <xf numFmtId="0" fontId="37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177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1" fontId="0" fillId="0" borderId="13" xfId="0" applyNumberFormat="1" applyFill="1" applyBorder="1" applyAlignment="1">
      <alignment/>
    </xf>
    <xf numFmtId="171" fontId="0" fillId="15" borderId="13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15" borderId="13" xfId="0" applyNumberFormat="1" applyFill="1" applyBorder="1" applyAlignment="1">
      <alignment/>
    </xf>
    <xf numFmtId="0" fontId="33" fillId="0" borderId="4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3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WaX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DATA!$A$15</c:f>
              <c:strCache>
                <c:ptCount val="1"/>
                <c:pt idx="0">
                  <c:v>Wax-Plan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DATA!$B$15:$N$15</c:f>
              <c:numCache>
                <c:ptCount val="13"/>
                <c:pt idx="0">
                  <c:v>5.526206615019548</c:v>
                </c:pt>
                <c:pt idx="1">
                  <c:v>5.311867396967474</c:v>
                </c:pt>
                <c:pt idx="2">
                  <c:v>5.541295233763629</c:v>
                </c:pt>
                <c:pt idx="3">
                  <c:v>6.508852910727803</c:v>
                </c:pt>
                <c:pt idx="4">
                  <c:v>5.9907459795026625</c:v>
                </c:pt>
                <c:pt idx="5">
                  <c:v>6.2003661005050725</c:v>
                </c:pt>
                <c:pt idx="6">
                  <c:v>6.820564613829723</c:v>
                </c:pt>
              </c:numCache>
            </c:numRef>
          </c:val>
        </c:ser>
        <c:ser>
          <c:idx val="2"/>
          <c:order val="2"/>
          <c:tx>
            <c:strRef>
              <c:f>DATA!$A$27</c:f>
              <c:strCache>
                <c:ptCount val="1"/>
                <c:pt idx="0">
                  <c:v>Wax-Forecast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DATA!$B$27:$N$27</c:f>
              <c:numCache>
                <c:ptCount val="13"/>
              </c:numCache>
            </c:numRef>
          </c:val>
        </c:ser>
        <c:axId val="43098420"/>
        <c:axId val="52341461"/>
      </c:barChar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Wax-Actual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5.681938973411145</c:v>
                </c:pt>
                <c:pt idx="1">
                  <c:v>5.625259597781948</c:v>
                </c:pt>
                <c:pt idx="2">
                  <c:v>5.486600740740741</c:v>
                </c:pt>
                <c:pt idx="3">
                  <c:v>6.847458823529412</c:v>
                </c:pt>
                <c:pt idx="4">
                  <c:v>6.602106474820144</c:v>
                </c:pt>
                <c:pt idx="5">
                  <c:v>6.6972014492753615</c:v>
                </c:pt>
              </c:numCache>
            </c:numRef>
          </c:val>
          <c:smooth val="0"/>
        </c:ser>
        <c:axId val="43098420"/>
        <c:axId val="52341461"/>
      </c:lineChart>
      <c:cat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41461"/>
        <c:crosses val="autoZero"/>
        <c:auto val="1"/>
        <c:lblOffset val="100"/>
        <c:noMultiLvlLbl val="0"/>
      </c:catAx>
      <c:valAx>
        <c:axId val="5234146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2008 PVA Wax Dept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Target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58264654"/>
        <c:axId val="54619839"/>
      </c:barChart>
      <c:catAx>
        <c:axId val="5826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839"/>
        <c:crossesAt val="700000"/>
        <c:auto val="1"/>
        <c:lblOffset val="100"/>
        <c:noMultiLvlLbl val="0"/>
      </c:catAx>
      <c:valAx>
        <c:axId val="54619839"/>
        <c:scaling>
          <c:orientation val="minMax"/>
          <c:min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826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Monoshell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DATA!$A$16</c:f>
              <c:strCache>
                <c:ptCount val="1"/>
                <c:pt idx="0">
                  <c:v>Monoshell-Plan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DATA!$B$16:$N$16</c:f>
              <c:numCache>
                <c:ptCount val="13"/>
                <c:pt idx="0">
                  <c:v>9.951483399352423</c:v>
                </c:pt>
                <c:pt idx="1">
                  <c:v>9.364830639229258</c:v>
                </c:pt>
                <c:pt idx="2">
                  <c:v>9.420408269135661</c:v>
                </c:pt>
                <c:pt idx="3">
                  <c:v>10.65546671150022</c:v>
                </c:pt>
                <c:pt idx="4">
                  <c:v>9.580965866643055</c:v>
                </c:pt>
                <c:pt idx="5">
                  <c:v>9.760049340785915</c:v>
                </c:pt>
                <c:pt idx="6">
                  <c:v>10.822199601219435</c:v>
                </c:pt>
              </c:numCache>
            </c:numRef>
          </c:val>
        </c:ser>
        <c:axId val="1311102"/>
        <c:axId val="11799919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Monoshell-Actual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10.303475055426322</c:v>
                </c:pt>
                <c:pt idx="1">
                  <c:v>8.951366756137666</c:v>
                </c:pt>
                <c:pt idx="2">
                  <c:v>9.432454545454545</c:v>
                </c:pt>
                <c:pt idx="3">
                  <c:v>11.463600000000001</c:v>
                </c:pt>
                <c:pt idx="4">
                  <c:v>10.777919999999998</c:v>
                </c:pt>
                <c:pt idx="5">
                  <c:v>10.00195</c:v>
                </c:pt>
              </c:numCache>
            </c:numRef>
          </c:val>
          <c:smooth val="0"/>
        </c:ser>
        <c:axId val="1311102"/>
        <c:axId val="11799919"/>
      </c:lineChart>
      <c:catAx>
        <c:axId val="13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Casting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DATA!$A$17</c:f>
              <c:strCache>
                <c:ptCount val="1"/>
                <c:pt idx="0">
                  <c:v>Cast-Plan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DATA!$B$17:$N$17</c:f>
              <c:numCache>
                <c:ptCount val="13"/>
                <c:pt idx="0">
                  <c:v>19.42426978222586</c:v>
                </c:pt>
                <c:pt idx="1">
                  <c:v>18.279184067480927</c:v>
                </c:pt>
                <c:pt idx="2">
                  <c:v>18.38766587203571</c:v>
                </c:pt>
                <c:pt idx="3">
                  <c:v>20.355854073112972</c:v>
                </c:pt>
                <c:pt idx="4">
                  <c:v>18.30316290607637</c:v>
                </c:pt>
                <c:pt idx="5">
                  <c:v>18.64527810058247</c:v>
                </c:pt>
                <c:pt idx="6">
                  <c:v>20.674375116273826</c:v>
                </c:pt>
              </c:numCache>
            </c:numRef>
          </c:val>
        </c:ser>
        <c:axId val="39090408"/>
        <c:axId val="16269353"/>
      </c:barChart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Cast-Actual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DATA!$B$5:$N$5</c:f>
              <c:numCache>
                <c:ptCount val="13"/>
                <c:pt idx="0">
                  <c:v>20.55823946020777</c:v>
                </c:pt>
                <c:pt idx="1">
                  <c:v>19.646456589332505</c:v>
                </c:pt>
                <c:pt idx="2">
                  <c:v>22.308144186046512</c:v>
                </c:pt>
                <c:pt idx="3">
                  <c:v>21.677923404255317</c:v>
                </c:pt>
                <c:pt idx="4">
                  <c:v>20.222978723404257</c:v>
                </c:pt>
                <c:pt idx="5">
                  <c:v>20.05246222222222</c:v>
                </c:pt>
              </c:numCache>
            </c:numRef>
          </c:val>
          <c:smooth val="0"/>
        </c:ser>
        <c:axId val="39090408"/>
        <c:axId val="16269353"/>
      </c:lineChart>
      <c:catAx>
        <c:axId val="3909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69353"/>
        <c:crossesAt val="15"/>
        <c:auto val="1"/>
        <c:lblOffset val="100"/>
        <c:noMultiLvlLbl val="0"/>
      </c:catAx>
      <c:valAx>
        <c:axId val="16269353"/>
        <c:scaling>
          <c:orientation val="minMax"/>
          <c:max val="23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9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 Cast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DATA!$A$18</c:f>
              <c:strCache>
                <c:ptCount val="1"/>
                <c:pt idx="0">
                  <c:v>Post Cast-Plan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DATA!$B$18:$N$18</c:f>
              <c:numCache>
                <c:ptCount val="13"/>
                <c:pt idx="0">
                  <c:v>11</c:v>
                </c:pt>
                <c:pt idx="1">
                  <c:v>6.507454628809378</c:v>
                </c:pt>
                <c:pt idx="2">
                  <c:v>6.4551568356747815</c:v>
                </c:pt>
                <c:pt idx="3">
                  <c:v>7.301457305773081</c:v>
                </c:pt>
                <c:pt idx="4">
                  <c:v>6.565175896787561</c:v>
                </c:pt>
                <c:pt idx="5">
                  <c:v>6.687889464951814</c:v>
                </c:pt>
                <c:pt idx="6">
                  <c:v>7.520154458943907</c:v>
                </c:pt>
              </c:numCache>
            </c:numRef>
          </c:val>
        </c:ser>
        <c:axId val="12206450"/>
        <c:axId val="42749187"/>
      </c:barChar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Post Cast-Actual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DATA!$B$2:$N$2</c:f>
              <c:strCache>
                <c:ptCount val="13"/>
                <c:pt idx="0">
                  <c:v>Jan-08</c:v>
                </c:pt>
                <c:pt idx="1">
                  <c:v>Feb-08</c:v>
                </c:pt>
                <c:pt idx="2">
                  <c:v>Mar-08</c:v>
                </c:pt>
                <c:pt idx="3">
                  <c:v>Apr-08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Aug-08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Dec-08</c:v>
                </c:pt>
                <c:pt idx="12">
                  <c:v>YTD</c:v>
                </c:pt>
              </c:strCache>
            </c:strRef>
          </c:cat>
          <c:val>
            <c:numRef>
              <c:f>DATA!$B$6:$N$6</c:f>
              <c:numCache>
                <c:ptCount val="13"/>
                <c:pt idx="0">
                  <c:v>8.068870482051503</c:v>
                </c:pt>
                <c:pt idx="1">
                  <c:v>6.747130497858695</c:v>
                </c:pt>
                <c:pt idx="2">
                  <c:v>7.572587499999999</c:v>
                </c:pt>
                <c:pt idx="3">
                  <c:v>7.637074285714285</c:v>
                </c:pt>
                <c:pt idx="4">
                  <c:v>7.2483506849315065</c:v>
                </c:pt>
                <c:pt idx="5">
                  <c:v>6.42868918918919</c:v>
                </c:pt>
              </c:numCache>
            </c:numRef>
          </c:val>
          <c:smooth val="0"/>
        </c:ser>
        <c:axId val="12206450"/>
        <c:axId val="42749187"/>
      </c:lineChart>
      <c:catAx>
        <c:axId val="1220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9187"/>
        <c:crosses val="autoZero"/>
        <c:auto val="1"/>
        <c:lblOffset val="100"/>
        <c:noMultiLvlLbl val="0"/>
      </c:catAx>
      <c:valAx>
        <c:axId val="42749187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6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Finish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DATA!$A$19</c:f>
              <c:strCache>
                <c:ptCount val="1"/>
                <c:pt idx="0">
                  <c:v>Finish-Plan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DATA!$B$14:$M$14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DATA!$B$19:$M$19</c:f>
              <c:numCache>
                <c:ptCount val="12"/>
                <c:pt idx="0">
                  <c:v>5.583167649621855</c:v>
                </c:pt>
                <c:pt idx="1">
                  <c:v>5.37210087886079</c:v>
                </c:pt>
                <c:pt idx="2">
                  <c:v>5.343938530039858</c:v>
                </c:pt>
                <c:pt idx="3">
                  <c:v>6.112469545977113</c:v>
                </c:pt>
                <c:pt idx="4">
                  <c:v>5.622432868380185</c:v>
                </c:pt>
                <c:pt idx="5">
                  <c:v>5.932079538367745</c:v>
                </c:pt>
                <c:pt idx="6">
                  <c:v>6.738076317645047</c:v>
                </c:pt>
              </c:numCache>
            </c:numRef>
          </c:val>
        </c:ser>
        <c:axId val="49198364"/>
        <c:axId val="40132093"/>
      </c:barChart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Finish-Actual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DATA!$B$14:$M$14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DATA!$B$7:$M$7</c:f>
              <c:numCache>
                <c:ptCount val="12"/>
                <c:pt idx="0">
                  <c:v>5.656333579072861</c:v>
                </c:pt>
                <c:pt idx="1">
                  <c:v>5.291668986895546</c:v>
                </c:pt>
                <c:pt idx="2">
                  <c:v>5.630630208333333</c:v>
                </c:pt>
                <c:pt idx="3">
                  <c:v>5.924198019801981</c:v>
                </c:pt>
                <c:pt idx="4">
                  <c:v>5.540412631578947</c:v>
                </c:pt>
                <c:pt idx="5">
                  <c:v>5.103516</c:v>
                </c:pt>
              </c:numCache>
            </c:numRef>
          </c:val>
          <c:smooth val="0"/>
        </c:ser>
        <c:axId val="49198364"/>
        <c:axId val="40132093"/>
      </c:lineChart>
      <c:dateAx>
        <c:axId val="49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2093"/>
        <c:crossesAt val="3"/>
        <c:auto val="0"/>
        <c:noMultiLvlLbl val="0"/>
      </c:dateAx>
      <c:valAx>
        <c:axId val="40132093"/>
        <c:scaling>
          <c:orientation val="minMax"/>
          <c:max val="8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FPI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DATA!$A$20</c:f>
              <c:strCache>
                <c:ptCount val="1"/>
                <c:pt idx="0">
                  <c:v>FPI-Plan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DATA!$B$14:$M$14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DATA!$B$20:$M$20</c:f>
              <c:numCache>
                <c:ptCount val="12"/>
                <c:pt idx="0">
                  <c:v>1.1079252640017971</c:v>
                </c:pt>
                <c:pt idx="1">
                  <c:v>1.0426116431019083</c:v>
                </c:pt>
                <c:pt idx="2">
                  <c:v>1.048799249292424</c:v>
                </c:pt>
                <c:pt idx="3">
                  <c:v>1.134723278252026</c:v>
                </c:pt>
                <c:pt idx="4">
                  <c:v>1.0202974014535025</c:v>
                </c:pt>
                <c:pt idx="5">
                  <c:v>0.9562189104463292</c:v>
                </c:pt>
                <c:pt idx="6">
                  <c:v>0.9817413854952088</c:v>
                </c:pt>
              </c:numCache>
            </c:numRef>
          </c:val>
        </c:ser>
        <c:axId val="25644518"/>
        <c:axId val="29474071"/>
      </c:barChart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FPI-Actual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DATA!$B$14:$M$14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DATA!$B$8:$M$8</c:f>
              <c:numCache>
                <c:ptCount val="12"/>
                <c:pt idx="0">
                  <c:v>1.5772809752448793</c:v>
                </c:pt>
                <c:pt idx="1">
                  <c:v>1.5073266497021036</c:v>
                </c:pt>
                <c:pt idx="2">
                  <c:v>1.589825</c:v>
                </c:pt>
                <c:pt idx="3">
                  <c:v>1.710494117647059</c:v>
                </c:pt>
                <c:pt idx="4">
                  <c:v>1.5695999999999999</c:v>
                </c:pt>
                <c:pt idx="5">
                  <c:v>1.27756</c:v>
                </c:pt>
              </c:numCache>
            </c:numRef>
          </c:val>
          <c:smooth val="0"/>
        </c:ser>
        <c:axId val="25644518"/>
        <c:axId val="29474071"/>
      </c:lineChart>
      <c:date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auto val="0"/>
        <c:noMultiLvlLbl val="0"/>
      </c:dateAx>
      <c:valAx>
        <c:axId val="29474071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X-ray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DATA!$A$21</c:f>
              <c:strCache>
                <c:ptCount val="1"/>
                <c:pt idx="0">
                  <c:v>Xray-Plan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DATA!$B$21:$M$21</c:f>
              <c:numCache>
                <c:ptCount val="12"/>
                <c:pt idx="0">
                  <c:v>7.450404786910983</c:v>
                </c:pt>
                <c:pt idx="1">
                  <c:v>6.785026288481283</c:v>
                </c:pt>
                <c:pt idx="2">
                  <c:v>6.612003084722719</c:v>
                </c:pt>
                <c:pt idx="3">
                  <c:v>7.478866812644413</c:v>
                </c:pt>
                <c:pt idx="4">
                  <c:v>6.724695369352539</c:v>
                </c:pt>
                <c:pt idx="5">
                  <c:v>6.850390609901185</c:v>
                </c:pt>
                <c:pt idx="6">
                  <c:v>7.840922235782029</c:v>
                </c:pt>
              </c:numCache>
            </c:numRef>
          </c:val>
        </c:ser>
        <c:axId val="63940048"/>
        <c:axId val="38589521"/>
      </c:barChart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Xray-Actual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DATA!$B$9:$M$9</c:f>
              <c:numCache>
                <c:ptCount val="12"/>
                <c:pt idx="0">
                  <c:v>7.7139313601991795</c:v>
                </c:pt>
                <c:pt idx="1">
                  <c:v>8.190899046940093</c:v>
                </c:pt>
                <c:pt idx="2">
                  <c:v>8.665011111111111</c:v>
                </c:pt>
                <c:pt idx="3">
                  <c:v>9.384275862068966</c:v>
                </c:pt>
                <c:pt idx="4">
                  <c:v>7.313548387096774</c:v>
                </c:pt>
                <c:pt idx="5">
                  <c:v>7.32285625</c:v>
                </c:pt>
              </c:numCache>
            </c:numRef>
          </c:val>
          <c:smooth val="0"/>
        </c:ser>
        <c:axId val="63940048"/>
        <c:axId val="38589521"/>
      </c:lineChart>
      <c:dateAx>
        <c:axId val="6394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auto val="0"/>
        <c:noMultiLvlLbl val="0"/>
      </c:dateAx>
      <c:valAx>
        <c:axId val="38589521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Ship Dept-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DATA!$A$22</c:f>
              <c:strCache>
                <c:ptCount val="1"/>
                <c:pt idx="0">
                  <c:v>Ship-Plan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DATA!$B$22:$M$22</c:f>
              <c:numCache>
                <c:ptCount val="12"/>
                <c:pt idx="0">
                  <c:v>5.486992107587114</c:v>
                </c:pt>
                <c:pt idx="1">
                  <c:v>5.163526857682816</c:v>
                </c:pt>
                <c:pt idx="2">
                  <c:v>5.19417093398954</c:v>
                </c:pt>
                <c:pt idx="3">
                  <c:v>5.875150407472272</c:v>
                </c:pt>
                <c:pt idx="4">
                  <c:v>5.282698265542295</c:v>
                </c:pt>
                <c:pt idx="5">
                  <c:v>5.381440289197291</c:v>
                </c:pt>
                <c:pt idx="6">
                  <c:v>6.340025301166968</c:v>
                </c:pt>
              </c:numCache>
            </c:numRef>
          </c:val>
        </c:ser>
        <c:axId val="11761370"/>
        <c:axId val="38743467"/>
      </c:barChart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Ship-Actual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DATA!$B$10:$M$10</c:f>
              <c:numCache>
                <c:ptCount val="12"/>
                <c:pt idx="0">
                  <c:v>6.036138211125299</c:v>
                </c:pt>
                <c:pt idx="1">
                  <c:v>6.152990032653226</c:v>
                </c:pt>
                <c:pt idx="2">
                  <c:v>5.552082352941177</c:v>
                </c:pt>
                <c:pt idx="3">
                  <c:v>7.629973333333333</c:v>
                </c:pt>
                <c:pt idx="4">
                  <c:v>6.0604</c:v>
                </c:pt>
                <c:pt idx="5">
                  <c:v>5.6103375</c:v>
                </c:pt>
              </c:numCache>
            </c:numRef>
          </c:val>
          <c:smooth val="0"/>
        </c:ser>
        <c:axId val="11761370"/>
        <c:axId val="38743467"/>
      </c:lineChart>
      <c:dateAx>
        <c:axId val="1176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3467"/>
        <c:crosses val="autoZero"/>
        <c:auto val="0"/>
        <c:noMultiLvlLbl val="0"/>
      </c:dateAx>
      <c:valAx>
        <c:axId val="38743467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PVA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DATA!$A$23</c:f>
              <c:strCache>
                <c:ptCount val="1"/>
                <c:pt idx="0">
                  <c:v>Total-Plan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DATA!$B$23:$M$23</c:f>
              <c:numCache>
                <c:ptCount val="12"/>
                <c:pt idx="0">
                  <c:v>7.3752860411899315</c:v>
                </c:pt>
                <c:pt idx="1">
                  <c:v>6.956422018348623</c:v>
                </c:pt>
                <c:pt idx="2">
                  <c:v>7.02995391705069</c:v>
                </c:pt>
                <c:pt idx="3">
                  <c:v>8.025581395348835</c:v>
                </c:pt>
                <c:pt idx="4">
                  <c:v>7.301176470588235</c:v>
                </c:pt>
                <c:pt idx="5">
                  <c:v>7.490521327014217</c:v>
                </c:pt>
                <c:pt idx="6">
                  <c:v>8.345238095238095</c:v>
                </c:pt>
              </c:numCache>
            </c:numRef>
          </c:val>
        </c:ser>
        <c:axId val="13146884"/>
        <c:axId val="51213093"/>
      </c:barChart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Total-Actual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DATA!$B$26:$M$26</c:f>
              <c:strCach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strCache>
            </c:strRef>
          </c:cat>
          <c:val>
            <c:numRef>
              <c:f>DATA!$B$11:$M$11</c:f>
              <c:numCache>
                <c:ptCount val="12"/>
                <c:pt idx="0">
                  <c:v>7.814988290398127</c:v>
                </c:pt>
                <c:pt idx="1">
                  <c:v>7.399071925754059</c:v>
                </c:pt>
                <c:pt idx="2">
                  <c:v>7.820093457943925</c:v>
                </c:pt>
                <c:pt idx="3">
                  <c:v>8.570114942528734</c:v>
                </c:pt>
                <c:pt idx="4">
                  <c:v>7.981693363844394</c:v>
                </c:pt>
                <c:pt idx="5">
                  <c:v>7.555811685393258</c:v>
                </c:pt>
              </c:numCache>
            </c:numRef>
          </c:val>
          <c:smooth val="0"/>
        </c:ser>
        <c:axId val="13146884"/>
        <c:axId val="51213093"/>
      </c:lineChart>
      <c:dateAx>
        <c:axId val="1314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PVA $ Per Person 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13093"/>
        <c:crossesAt val="4"/>
        <c:auto val="0"/>
        <c:noMultiLvlLbl val="0"/>
      </c:dateAx>
      <c:valAx>
        <c:axId val="51213093"/>
        <c:scaling>
          <c:orientation val="minMax"/>
          <c:max val="10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2752725" y="0"/>
        <a:ext cx="546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45_Share\SASGRAPH\delete\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45_Share\SASGRAPH\delete\MONT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45_Share\SASGRAPH\delete\MONTH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a.alcoa.com\dfs\HLC\HLC%20Reserved\45_Share\SASGRAPH\delete\MONTH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2">
          <cell r="A2">
            <v>39630</v>
          </cell>
          <cell r="B2">
            <v>40735.39</v>
          </cell>
          <cell r="C2">
            <v>7011.21</v>
          </cell>
          <cell r="D2">
            <v>36810.79</v>
          </cell>
          <cell r="E2">
            <v>23471.29</v>
          </cell>
          <cell r="F2">
            <v>23631.9</v>
          </cell>
          <cell r="G2">
            <v>1169.26</v>
          </cell>
          <cell r="H2">
            <v>8843.77</v>
          </cell>
          <cell r="J2">
            <v>78014.70999999998</v>
          </cell>
          <cell r="K2">
            <v>106631</v>
          </cell>
          <cell r="L2">
            <v>82449</v>
          </cell>
        </row>
        <row r="3">
          <cell r="A3">
            <v>39631</v>
          </cell>
          <cell r="B3">
            <v>40732.28</v>
          </cell>
          <cell r="C3">
            <v>11337.49</v>
          </cell>
          <cell r="D3">
            <v>44029.32</v>
          </cell>
          <cell r="E3">
            <v>20541.21</v>
          </cell>
          <cell r="F3">
            <v>23440.08</v>
          </cell>
          <cell r="G3">
            <v>1204.28</v>
          </cell>
          <cell r="H3">
            <v>9997.07</v>
          </cell>
          <cell r="J3">
            <v>69542.65999999999</v>
          </cell>
          <cell r="K3">
            <v>152139</v>
          </cell>
          <cell r="L3">
            <v>77807</v>
          </cell>
        </row>
        <row r="4">
          <cell r="A4">
            <v>39632</v>
          </cell>
          <cell r="B4">
            <v>40877.41</v>
          </cell>
          <cell r="C4">
            <v>6167.19</v>
          </cell>
          <cell r="D4">
            <v>36461.29</v>
          </cell>
          <cell r="E4">
            <v>18048.3</v>
          </cell>
          <cell r="F4">
            <v>20038.07</v>
          </cell>
          <cell r="G4">
            <v>754.16</v>
          </cell>
          <cell r="H4">
            <v>7433.49</v>
          </cell>
          <cell r="J4">
            <v>71924.85999999997</v>
          </cell>
          <cell r="K4">
            <v>110065</v>
          </cell>
          <cell r="L4">
            <v>240441</v>
          </cell>
        </row>
        <row r="5">
          <cell r="A5">
            <v>39633</v>
          </cell>
          <cell r="B5">
            <v>0</v>
          </cell>
          <cell r="C5">
            <v>0</v>
          </cell>
          <cell r="D5">
            <v>62.26</v>
          </cell>
          <cell r="E5">
            <v>0</v>
          </cell>
          <cell r="F5">
            <v>2804.04</v>
          </cell>
          <cell r="G5">
            <v>84.78</v>
          </cell>
          <cell r="H5">
            <v>93.5</v>
          </cell>
          <cell r="J5">
            <v>44</v>
          </cell>
        </row>
        <row r="6">
          <cell r="A6">
            <v>39634</v>
          </cell>
          <cell r="B6">
            <v>0</v>
          </cell>
          <cell r="C6">
            <v>2766.97</v>
          </cell>
          <cell r="D6">
            <v>3362.25</v>
          </cell>
          <cell r="E6">
            <v>0</v>
          </cell>
          <cell r="F6">
            <v>4718.49</v>
          </cell>
          <cell r="G6">
            <v>333.26</v>
          </cell>
          <cell r="H6">
            <v>140.26</v>
          </cell>
          <cell r="J6">
            <v>4425.989999999999</v>
          </cell>
        </row>
        <row r="7">
          <cell r="A7">
            <v>39635</v>
          </cell>
          <cell r="B7">
            <v>663.24</v>
          </cell>
          <cell r="C7">
            <v>7187.19</v>
          </cell>
          <cell r="D7">
            <v>2632.92</v>
          </cell>
          <cell r="E7">
            <v>331.52</v>
          </cell>
          <cell r="F7">
            <v>5963.1</v>
          </cell>
          <cell r="G7">
            <v>40.92</v>
          </cell>
          <cell r="H7">
            <v>194.8</v>
          </cell>
          <cell r="J7">
            <v>15599.720000000001</v>
          </cell>
        </row>
        <row r="8">
          <cell r="A8">
            <v>39636</v>
          </cell>
          <cell r="B8">
            <v>29861.47</v>
          </cell>
          <cell r="C8">
            <v>4666.37</v>
          </cell>
          <cell r="D8">
            <v>43474.47</v>
          </cell>
          <cell r="E8">
            <v>14786.58</v>
          </cell>
          <cell r="F8">
            <v>19046.73</v>
          </cell>
          <cell r="G8">
            <v>812.65</v>
          </cell>
          <cell r="H8">
            <v>9576.29</v>
          </cell>
          <cell r="J8">
            <v>73518.19</v>
          </cell>
          <cell r="K8">
            <v>120634</v>
          </cell>
          <cell r="L8">
            <v>255639</v>
          </cell>
        </row>
        <row r="9">
          <cell r="A9">
            <v>39637</v>
          </cell>
          <cell r="B9">
            <v>34304.97</v>
          </cell>
          <cell r="C9">
            <v>5405.08</v>
          </cell>
          <cell r="D9">
            <v>41589.09</v>
          </cell>
          <cell r="E9">
            <v>16769.86</v>
          </cell>
          <cell r="F9">
            <v>20750.17</v>
          </cell>
          <cell r="G9">
            <v>1347.55</v>
          </cell>
          <cell r="H9">
            <v>9911.36</v>
          </cell>
          <cell r="J9">
            <v>62521.97</v>
          </cell>
          <cell r="K9">
            <v>122782</v>
          </cell>
          <cell r="L9">
            <v>221605</v>
          </cell>
        </row>
        <row r="10">
          <cell r="A10">
            <v>39638</v>
          </cell>
          <cell r="B10">
            <v>43571.46</v>
          </cell>
          <cell r="C10">
            <v>7257.48</v>
          </cell>
          <cell r="D10">
            <v>42820.4</v>
          </cell>
          <cell r="E10">
            <v>19627.03</v>
          </cell>
          <cell r="F10">
            <v>18938.06</v>
          </cell>
          <cell r="G10">
            <v>988.05</v>
          </cell>
          <cell r="H10">
            <v>12474.89</v>
          </cell>
          <cell r="J10">
            <v>85607.42999999998</v>
          </cell>
          <cell r="K10">
            <v>125882</v>
          </cell>
          <cell r="L10">
            <v>258671</v>
          </cell>
        </row>
        <row r="11">
          <cell r="A11">
            <v>39639</v>
          </cell>
          <cell r="B11">
            <v>33084.88</v>
          </cell>
          <cell r="C11">
            <v>9063.05</v>
          </cell>
          <cell r="D11">
            <v>37431.23</v>
          </cell>
          <cell r="E11">
            <v>18422.35</v>
          </cell>
          <cell r="F11">
            <v>20588.68</v>
          </cell>
          <cell r="G11">
            <v>944.17</v>
          </cell>
          <cell r="H11">
            <v>12178.78</v>
          </cell>
          <cell r="J11">
            <v>78807.87999999998</v>
          </cell>
          <cell r="K11">
            <v>118034</v>
          </cell>
          <cell r="L11">
            <v>281398</v>
          </cell>
        </row>
        <row r="12">
          <cell r="A12">
            <v>39640</v>
          </cell>
          <cell r="B12">
            <v>38019.5</v>
          </cell>
          <cell r="C12">
            <v>4572.64</v>
          </cell>
          <cell r="D12">
            <v>43071.81</v>
          </cell>
          <cell r="E12">
            <v>17981.69</v>
          </cell>
          <cell r="F12">
            <v>20171.69</v>
          </cell>
          <cell r="G12">
            <v>736.65</v>
          </cell>
          <cell r="H12">
            <v>10113.93</v>
          </cell>
          <cell r="J12">
            <v>76684.20000000001</v>
          </cell>
          <cell r="K12">
            <v>114555</v>
          </cell>
          <cell r="L12">
            <v>486064</v>
          </cell>
        </row>
        <row r="13">
          <cell r="A13">
            <v>39641</v>
          </cell>
          <cell r="B13">
            <v>7726.91</v>
          </cell>
          <cell r="C13">
            <v>9743.02</v>
          </cell>
          <cell r="D13">
            <v>17463.47</v>
          </cell>
          <cell r="E13">
            <v>8833.38</v>
          </cell>
          <cell r="F13">
            <v>11755.84</v>
          </cell>
          <cell r="G13">
            <v>388.76</v>
          </cell>
          <cell r="H13">
            <v>0</v>
          </cell>
          <cell r="J13">
            <v>25103.519999999993</v>
          </cell>
          <cell r="K13">
            <v>41083</v>
          </cell>
        </row>
        <row r="14">
          <cell r="A14">
            <v>39642</v>
          </cell>
          <cell r="B14">
            <v>538.83</v>
          </cell>
          <cell r="C14">
            <v>8664.34</v>
          </cell>
          <cell r="D14">
            <v>14870.76</v>
          </cell>
          <cell r="E14">
            <v>2962.17</v>
          </cell>
          <cell r="F14">
            <v>7208.16</v>
          </cell>
          <cell r="G14">
            <v>236.76</v>
          </cell>
          <cell r="H14">
            <v>15.58</v>
          </cell>
          <cell r="J14">
            <v>19336.55000000001</v>
          </cell>
          <cell r="K14">
            <v>38205</v>
          </cell>
        </row>
        <row r="15">
          <cell r="A15">
            <v>39643</v>
          </cell>
          <cell r="B15">
            <v>33884.83</v>
          </cell>
          <cell r="C15">
            <v>8840.29</v>
          </cell>
          <cell r="D15">
            <v>40222.96</v>
          </cell>
          <cell r="E15">
            <v>19852.53</v>
          </cell>
          <cell r="F15">
            <v>23024.49</v>
          </cell>
          <cell r="G15">
            <v>727.88</v>
          </cell>
          <cell r="H15">
            <v>7924.35</v>
          </cell>
          <cell r="J15">
            <v>83263.45000000003</v>
          </cell>
          <cell r="K15">
            <v>106645</v>
          </cell>
          <cell r="L15">
            <v>476914</v>
          </cell>
        </row>
        <row r="16">
          <cell r="A16">
            <v>39644</v>
          </cell>
          <cell r="B16">
            <v>39494.54</v>
          </cell>
          <cell r="C16">
            <v>8277.6</v>
          </cell>
          <cell r="D16">
            <v>42430.34</v>
          </cell>
          <cell r="E16">
            <v>20375.04</v>
          </cell>
          <cell r="F16">
            <v>23102.47</v>
          </cell>
          <cell r="G16">
            <v>1075.68</v>
          </cell>
          <cell r="H16">
            <v>12802.18</v>
          </cell>
          <cell r="J16">
            <v>83322.52000000006</v>
          </cell>
          <cell r="K16">
            <v>121948</v>
          </cell>
          <cell r="L16">
            <v>370340</v>
          </cell>
        </row>
        <row r="17">
          <cell r="A17">
            <v>39645</v>
          </cell>
          <cell r="B17">
            <v>37980.91</v>
          </cell>
          <cell r="C17">
            <v>6038.13</v>
          </cell>
          <cell r="D17">
            <v>41837.66</v>
          </cell>
          <cell r="E17">
            <v>19109.79</v>
          </cell>
          <cell r="F17">
            <v>18736.69</v>
          </cell>
          <cell r="G17">
            <v>1578.46</v>
          </cell>
          <cell r="H17">
            <v>10550.3</v>
          </cell>
          <cell r="J17">
            <v>64536.78999999997</v>
          </cell>
          <cell r="K17">
            <v>107164</v>
          </cell>
          <cell r="L17">
            <v>237880</v>
          </cell>
        </row>
        <row r="18">
          <cell r="A18">
            <v>39646</v>
          </cell>
          <cell r="B18">
            <v>39296.87</v>
          </cell>
          <cell r="C18">
            <v>5416.82</v>
          </cell>
          <cell r="D18">
            <v>38836.87</v>
          </cell>
          <cell r="E18">
            <v>16985.35</v>
          </cell>
          <cell r="F18">
            <v>20260.41</v>
          </cell>
          <cell r="G18">
            <v>1075.7</v>
          </cell>
          <cell r="H18">
            <v>10386.66</v>
          </cell>
          <cell r="J18">
            <v>77906.53999999994</v>
          </cell>
          <cell r="K18">
            <v>135096</v>
          </cell>
          <cell r="L18">
            <v>330818</v>
          </cell>
        </row>
        <row r="19">
          <cell r="A19">
            <v>39647</v>
          </cell>
          <cell r="B19">
            <v>39786.49</v>
          </cell>
          <cell r="C19">
            <v>5979.55</v>
          </cell>
          <cell r="D19">
            <v>35290.78</v>
          </cell>
          <cell r="E19">
            <v>17108.49</v>
          </cell>
          <cell r="F19">
            <v>17809.49</v>
          </cell>
          <cell r="G19">
            <v>1087.35</v>
          </cell>
          <cell r="H19">
            <v>10184.07</v>
          </cell>
          <cell r="J19">
            <v>78741.92999999998</v>
          </cell>
          <cell r="K19">
            <v>105993</v>
          </cell>
          <cell r="L19">
            <v>348336</v>
          </cell>
        </row>
        <row r="20">
          <cell r="A20">
            <v>39648</v>
          </cell>
          <cell r="B20">
            <v>9573.97</v>
          </cell>
          <cell r="C20">
            <v>8371.33</v>
          </cell>
          <cell r="D20">
            <v>8015.47</v>
          </cell>
          <cell r="E20">
            <v>7368.86</v>
          </cell>
          <cell r="F20">
            <v>8589.66</v>
          </cell>
          <cell r="G20">
            <v>403.39</v>
          </cell>
          <cell r="H20">
            <v>1511.61</v>
          </cell>
          <cell r="J20">
            <v>34011.4</v>
          </cell>
          <cell r="K20">
            <v>11166</v>
          </cell>
          <cell r="L20">
            <v>32645</v>
          </cell>
        </row>
        <row r="21">
          <cell r="A21">
            <v>39649</v>
          </cell>
          <cell r="B21">
            <v>8544.23</v>
          </cell>
          <cell r="C21">
            <v>8054.75</v>
          </cell>
          <cell r="D21">
            <v>10310.67</v>
          </cell>
          <cell r="E21">
            <v>5956.74</v>
          </cell>
          <cell r="F21">
            <v>7135.27</v>
          </cell>
          <cell r="G21">
            <v>415.06</v>
          </cell>
          <cell r="H21">
            <v>1114.24</v>
          </cell>
          <cell r="J21">
            <v>23188.91</v>
          </cell>
          <cell r="K21">
            <v>14754</v>
          </cell>
        </row>
        <row r="22">
          <cell r="A22">
            <v>39650</v>
          </cell>
          <cell r="B22">
            <v>36410.1</v>
          </cell>
          <cell r="C22">
            <v>6872.24</v>
          </cell>
          <cell r="D22">
            <v>39221.38</v>
          </cell>
          <cell r="E22">
            <v>18678.83</v>
          </cell>
          <cell r="F22">
            <v>20875.17</v>
          </cell>
          <cell r="G22">
            <v>922.05</v>
          </cell>
          <cell r="H22">
            <v>12661.46</v>
          </cell>
          <cell r="J22">
            <v>70558.59000000004</v>
          </cell>
          <cell r="K22">
            <v>104853</v>
          </cell>
          <cell r="L22">
            <v>377084</v>
          </cell>
        </row>
        <row r="23">
          <cell r="A23">
            <v>39651</v>
          </cell>
          <cell r="B23">
            <v>36644.8</v>
          </cell>
          <cell r="C23">
            <v>7987.98</v>
          </cell>
          <cell r="D23">
            <v>51140.16</v>
          </cell>
          <cell r="E23">
            <v>21075.86</v>
          </cell>
          <cell r="F23">
            <v>26367.94</v>
          </cell>
          <cell r="G23">
            <v>1000.71</v>
          </cell>
          <cell r="H23">
            <v>9970.09</v>
          </cell>
          <cell r="J23">
            <v>78324.63000000003</v>
          </cell>
          <cell r="K23">
            <v>135874</v>
          </cell>
          <cell r="L23">
            <v>404363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TH8"/>
      <sheetName val="MONTH6"/>
      <sheetName val="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2">
          <cell r="I2">
            <v>2367.16</v>
          </cell>
        </row>
        <row r="3">
          <cell r="I3">
            <v>2550.64</v>
          </cell>
        </row>
        <row r="4">
          <cell r="I4">
            <v>2925.55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3834.04</v>
          </cell>
        </row>
        <row r="9">
          <cell r="I9">
            <v>4175.79</v>
          </cell>
        </row>
        <row r="10">
          <cell r="I10">
            <v>4375.85</v>
          </cell>
        </row>
        <row r="11">
          <cell r="I11">
            <v>4434.22</v>
          </cell>
        </row>
        <row r="12">
          <cell r="I12">
            <v>4117.52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3459.15</v>
          </cell>
        </row>
        <row r="16">
          <cell r="I16">
            <v>3575.78</v>
          </cell>
        </row>
        <row r="17">
          <cell r="I17">
            <v>3850.81</v>
          </cell>
        </row>
        <row r="18">
          <cell r="I18">
            <v>4450.89</v>
          </cell>
        </row>
        <row r="19">
          <cell r="I19">
            <v>4184.14</v>
          </cell>
        </row>
        <row r="20">
          <cell r="I20">
            <v>1508.61</v>
          </cell>
        </row>
        <row r="21">
          <cell r="I21">
            <v>0</v>
          </cell>
        </row>
        <row r="22">
          <cell r="I22">
            <v>4215.69</v>
          </cell>
        </row>
        <row r="23">
          <cell r="I23">
            <v>5210.14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3"/>
    </sheetNames>
    <sheetDataSet>
      <sheetData sheetId="0">
        <row r="2">
          <cell r="A2">
            <v>39508</v>
          </cell>
          <cell r="B2">
            <v>983.18</v>
          </cell>
          <cell r="C2">
            <v>7111</v>
          </cell>
          <cell r="D2">
            <v>16063.79</v>
          </cell>
          <cell r="E2">
            <v>12739.46</v>
          </cell>
          <cell r="F2">
            <v>9095.76</v>
          </cell>
          <cell r="G2">
            <v>0</v>
          </cell>
          <cell r="H2">
            <v>3142.49</v>
          </cell>
          <cell r="I2">
            <v>8.01</v>
          </cell>
          <cell r="J2">
            <v>13515.380000000005</v>
          </cell>
          <cell r="K2">
            <v>47137</v>
          </cell>
        </row>
        <row r="3">
          <cell r="A3">
            <v>39509</v>
          </cell>
          <cell r="B3">
            <v>318.8</v>
          </cell>
          <cell r="C3">
            <v>9640.14</v>
          </cell>
          <cell r="D3">
            <v>10776.14</v>
          </cell>
          <cell r="E3">
            <v>5310.21</v>
          </cell>
          <cell r="F3">
            <v>7917.53</v>
          </cell>
          <cell r="G3">
            <v>0</v>
          </cell>
          <cell r="H3">
            <v>0</v>
          </cell>
          <cell r="I3">
            <v>120.17</v>
          </cell>
          <cell r="J3">
            <v>16480.090000000004</v>
          </cell>
          <cell r="K3">
            <v>30878</v>
          </cell>
        </row>
        <row r="4">
          <cell r="A4">
            <v>39510</v>
          </cell>
          <cell r="B4">
            <v>33414.69</v>
          </cell>
          <cell r="C4">
            <v>6267.85</v>
          </cell>
          <cell r="D4">
            <v>48618.69</v>
          </cell>
          <cell r="E4">
            <v>24672.81</v>
          </cell>
          <cell r="F4">
            <v>20336.34</v>
          </cell>
          <cell r="G4">
            <v>1256.44</v>
          </cell>
          <cell r="H4">
            <v>10080.93</v>
          </cell>
          <cell r="J4">
            <v>106184.64000000012</v>
          </cell>
          <cell r="K4">
            <v>139070</v>
          </cell>
        </row>
        <row r="5">
          <cell r="A5">
            <v>39511</v>
          </cell>
          <cell r="B5">
            <v>35751.77</v>
          </cell>
          <cell r="C5">
            <v>5047.5</v>
          </cell>
          <cell r="D5">
            <v>47290.58</v>
          </cell>
          <cell r="E5">
            <v>24304.33</v>
          </cell>
          <cell r="F5">
            <v>21511.39</v>
          </cell>
          <cell r="G5">
            <v>1067.7</v>
          </cell>
          <cell r="H5">
            <v>9801.7</v>
          </cell>
          <cell r="J5">
            <v>70566.96999999999</v>
          </cell>
          <cell r="K5">
            <v>143401</v>
          </cell>
        </row>
        <row r="6">
          <cell r="A6">
            <v>39512</v>
          </cell>
          <cell r="B6">
            <v>35728.66</v>
          </cell>
          <cell r="C6">
            <v>5579.99</v>
          </cell>
          <cell r="D6">
            <v>45829.9</v>
          </cell>
          <cell r="E6">
            <v>24237.13</v>
          </cell>
          <cell r="F6">
            <v>22652.72</v>
          </cell>
          <cell r="G6">
            <v>1056.43</v>
          </cell>
          <cell r="H6">
            <v>6879.64</v>
          </cell>
          <cell r="J6">
            <v>69957.87999999993</v>
          </cell>
          <cell r="K6">
            <v>133967</v>
          </cell>
        </row>
        <row r="7">
          <cell r="A7">
            <v>39513</v>
          </cell>
          <cell r="B7">
            <v>34799.43</v>
          </cell>
          <cell r="C7">
            <v>5036.47</v>
          </cell>
          <cell r="D7">
            <v>39562.29</v>
          </cell>
          <cell r="E7">
            <v>23708.93</v>
          </cell>
          <cell r="F7">
            <v>21423.98</v>
          </cell>
          <cell r="G7">
            <v>994.45</v>
          </cell>
          <cell r="H7">
            <v>8421.52</v>
          </cell>
          <cell r="J7">
            <v>91083.03999999996</v>
          </cell>
          <cell r="K7">
            <v>88322</v>
          </cell>
        </row>
        <row r="8">
          <cell r="A8">
            <v>39514</v>
          </cell>
          <cell r="B8">
            <v>38782.52</v>
          </cell>
          <cell r="C8">
            <v>5990.44</v>
          </cell>
          <cell r="D8">
            <v>39996.9</v>
          </cell>
          <cell r="E8">
            <v>23189.71</v>
          </cell>
          <cell r="F8">
            <v>23632.25</v>
          </cell>
          <cell r="G8">
            <v>1411.27</v>
          </cell>
          <cell r="H8">
            <v>10146.86</v>
          </cell>
          <cell r="J8">
            <v>75321.73000000003</v>
          </cell>
          <cell r="K8">
            <v>111211</v>
          </cell>
        </row>
        <row r="9">
          <cell r="A9">
            <v>39515</v>
          </cell>
          <cell r="B9">
            <v>4870.72</v>
          </cell>
          <cell r="C9">
            <v>7898.57</v>
          </cell>
          <cell r="D9">
            <v>22914.14</v>
          </cell>
          <cell r="E9">
            <v>17520.06</v>
          </cell>
          <cell r="F9">
            <v>11375.17</v>
          </cell>
          <cell r="G9">
            <v>414.12</v>
          </cell>
          <cell r="H9">
            <v>36.72</v>
          </cell>
          <cell r="J9">
            <v>28842.920000000002</v>
          </cell>
          <cell r="K9">
            <v>58904</v>
          </cell>
        </row>
        <row r="10">
          <cell r="A10">
            <v>39516</v>
          </cell>
          <cell r="B10">
            <v>3900.73</v>
          </cell>
          <cell r="C10">
            <v>6034.84</v>
          </cell>
          <cell r="D10">
            <v>13388</v>
          </cell>
          <cell r="E10">
            <v>10225.16</v>
          </cell>
          <cell r="F10">
            <v>10105.81</v>
          </cell>
          <cell r="G10">
            <v>239.45</v>
          </cell>
          <cell r="H10">
            <v>51.41</v>
          </cell>
          <cell r="J10">
            <v>13386.360000000002</v>
          </cell>
          <cell r="K10">
            <v>31441</v>
          </cell>
        </row>
        <row r="11">
          <cell r="A11">
            <v>39517</v>
          </cell>
          <cell r="B11">
            <v>30363.19</v>
          </cell>
          <cell r="C11">
            <v>7088.69</v>
          </cell>
          <cell r="D11">
            <v>36632.25</v>
          </cell>
          <cell r="E11">
            <v>20096.58</v>
          </cell>
          <cell r="F11">
            <v>19405.74</v>
          </cell>
          <cell r="G11">
            <v>523.94</v>
          </cell>
          <cell r="H11">
            <v>8590.45</v>
          </cell>
          <cell r="J11">
            <v>85982.98999999998</v>
          </cell>
          <cell r="K11">
            <v>123816</v>
          </cell>
        </row>
        <row r="12">
          <cell r="A12">
            <v>39518</v>
          </cell>
          <cell r="B12">
            <v>40048.36</v>
          </cell>
          <cell r="C12">
            <v>8331.13</v>
          </cell>
          <cell r="D12">
            <v>39233.66</v>
          </cell>
          <cell r="E12">
            <v>19149.94</v>
          </cell>
          <cell r="F12">
            <v>22045.74</v>
          </cell>
          <cell r="G12">
            <v>1045.13</v>
          </cell>
          <cell r="H12">
            <v>8759.14</v>
          </cell>
          <cell r="J12">
            <v>77768.92000000004</v>
          </cell>
          <cell r="K12">
            <v>116357</v>
          </cell>
        </row>
        <row r="13">
          <cell r="A13">
            <v>39519</v>
          </cell>
          <cell r="B13">
            <v>37712.11</v>
          </cell>
          <cell r="C13">
            <v>7443.68</v>
          </cell>
          <cell r="D13">
            <v>37267.6</v>
          </cell>
          <cell r="E13">
            <v>21121.02</v>
          </cell>
          <cell r="F13">
            <v>19825.64</v>
          </cell>
          <cell r="G13">
            <v>963.43</v>
          </cell>
          <cell r="H13">
            <v>13472.83</v>
          </cell>
          <cell r="J13">
            <v>81838.12999999996</v>
          </cell>
          <cell r="K13">
            <v>80860</v>
          </cell>
        </row>
        <row r="14">
          <cell r="A14">
            <v>39520</v>
          </cell>
          <cell r="B14">
            <v>40018.51</v>
          </cell>
          <cell r="C14">
            <v>7410.38</v>
          </cell>
          <cell r="D14">
            <v>37396.38</v>
          </cell>
          <cell r="E14">
            <v>24309.52</v>
          </cell>
          <cell r="F14">
            <v>20341.4</v>
          </cell>
          <cell r="G14">
            <v>1064.83</v>
          </cell>
          <cell r="H14">
            <v>8781.23</v>
          </cell>
          <cell r="J14">
            <v>75118.25000000006</v>
          </cell>
          <cell r="K14">
            <v>93827</v>
          </cell>
        </row>
        <row r="15">
          <cell r="A15">
            <v>39521</v>
          </cell>
          <cell r="B15">
            <v>30578.6</v>
          </cell>
          <cell r="C15">
            <v>6134.7</v>
          </cell>
          <cell r="D15">
            <v>33455.13</v>
          </cell>
          <cell r="E15">
            <v>26056.19</v>
          </cell>
          <cell r="F15">
            <v>17957.78</v>
          </cell>
          <cell r="G15">
            <v>887.41</v>
          </cell>
          <cell r="H15">
            <v>8047.01</v>
          </cell>
          <cell r="J15">
            <v>64472.77999999997</v>
          </cell>
          <cell r="K15">
            <v>84964</v>
          </cell>
        </row>
        <row r="16">
          <cell r="A16">
            <v>39522</v>
          </cell>
          <cell r="B16">
            <v>1582.79</v>
          </cell>
          <cell r="C16">
            <v>9174.17</v>
          </cell>
          <cell r="D16">
            <v>11248.05</v>
          </cell>
          <cell r="E16">
            <v>21007.65</v>
          </cell>
          <cell r="F16">
            <v>9443.14</v>
          </cell>
          <cell r="G16">
            <v>76.07</v>
          </cell>
          <cell r="H16">
            <v>4016.19</v>
          </cell>
          <cell r="J16">
            <v>21661.79</v>
          </cell>
          <cell r="K16">
            <v>17499</v>
          </cell>
        </row>
        <row r="17">
          <cell r="A17">
            <v>39523</v>
          </cell>
          <cell r="B17">
            <v>450.85</v>
          </cell>
          <cell r="C17">
            <v>8197.99</v>
          </cell>
          <cell r="D17">
            <v>6970.02</v>
          </cell>
          <cell r="E17">
            <v>11161.78</v>
          </cell>
          <cell r="F17">
            <v>10908.37</v>
          </cell>
          <cell r="G17">
            <v>61.97</v>
          </cell>
          <cell r="H17">
            <v>124.82</v>
          </cell>
          <cell r="J17">
            <v>17142.199999999997</v>
          </cell>
          <cell r="K17">
            <v>9406</v>
          </cell>
        </row>
        <row r="18">
          <cell r="A18">
            <v>39524</v>
          </cell>
          <cell r="B18">
            <v>34151.77</v>
          </cell>
          <cell r="C18">
            <v>7388.26</v>
          </cell>
          <cell r="D18">
            <v>37332.65</v>
          </cell>
          <cell r="E18">
            <v>15994.71</v>
          </cell>
          <cell r="F18">
            <v>18826.23</v>
          </cell>
          <cell r="G18">
            <v>1059.23</v>
          </cell>
          <cell r="H18">
            <v>10521.33</v>
          </cell>
          <cell r="J18">
            <v>91811.40000000002</v>
          </cell>
          <cell r="K18">
            <v>96961</v>
          </cell>
        </row>
        <row r="19">
          <cell r="A19">
            <v>39525</v>
          </cell>
          <cell r="B19">
            <v>43844.18</v>
          </cell>
          <cell r="C19">
            <v>7754.33</v>
          </cell>
          <cell r="D19">
            <v>50320.17</v>
          </cell>
          <cell r="E19">
            <v>18214.07</v>
          </cell>
          <cell r="F19">
            <v>21426.29</v>
          </cell>
          <cell r="G19">
            <v>1276.11</v>
          </cell>
          <cell r="H19">
            <v>9383.29</v>
          </cell>
          <cell r="J19">
            <v>93999.54000000004</v>
          </cell>
          <cell r="K19">
            <v>137166</v>
          </cell>
        </row>
        <row r="20">
          <cell r="A20">
            <v>39526</v>
          </cell>
          <cell r="B20">
            <v>34690.04</v>
          </cell>
          <cell r="C20">
            <v>5890.57</v>
          </cell>
          <cell r="D20">
            <v>38432.72</v>
          </cell>
          <cell r="E20">
            <v>26085.02</v>
          </cell>
          <cell r="F20">
            <v>26646.51</v>
          </cell>
          <cell r="G20">
            <v>1121.21</v>
          </cell>
          <cell r="H20">
            <v>11064.62</v>
          </cell>
          <cell r="J20">
            <v>52152.70999999997</v>
          </cell>
          <cell r="K20">
            <v>100405</v>
          </cell>
        </row>
        <row r="21">
          <cell r="A21">
            <v>39527</v>
          </cell>
          <cell r="B21">
            <v>27929.77</v>
          </cell>
          <cell r="C21">
            <v>4869.98</v>
          </cell>
          <cell r="D21">
            <v>37324.95</v>
          </cell>
          <cell r="E21">
            <v>17576.99</v>
          </cell>
          <cell r="F21">
            <v>24434</v>
          </cell>
          <cell r="G21">
            <v>1073.31</v>
          </cell>
          <cell r="H21">
            <v>8751.91</v>
          </cell>
          <cell r="J21">
            <v>53431.47999999998</v>
          </cell>
          <cell r="K21">
            <v>113712</v>
          </cell>
        </row>
        <row r="22">
          <cell r="A22">
            <v>39528</v>
          </cell>
          <cell r="B22">
            <v>820.6</v>
          </cell>
          <cell r="C22">
            <v>6622.79</v>
          </cell>
          <cell r="D22">
            <v>22872.46</v>
          </cell>
          <cell r="E22">
            <v>10114.92</v>
          </cell>
          <cell r="F22">
            <v>10078.18</v>
          </cell>
          <cell r="G22">
            <v>478.89</v>
          </cell>
          <cell r="H22">
            <v>3619.68</v>
          </cell>
          <cell r="J22">
            <v>32318.470000000005</v>
          </cell>
          <cell r="K22">
            <v>39736</v>
          </cell>
        </row>
        <row r="23">
          <cell r="A23">
            <v>39529</v>
          </cell>
          <cell r="B23">
            <v>695.09</v>
          </cell>
          <cell r="C23">
            <v>9984.06</v>
          </cell>
          <cell r="D23">
            <v>11902.4</v>
          </cell>
          <cell r="E23">
            <v>6762.6</v>
          </cell>
          <cell r="F23">
            <v>9178.41</v>
          </cell>
          <cell r="G23">
            <v>73.24</v>
          </cell>
          <cell r="H23">
            <v>2672.56</v>
          </cell>
          <cell r="J23">
            <v>33740.07000000002</v>
          </cell>
          <cell r="K23">
            <v>21222</v>
          </cell>
        </row>
        <row r="24">
          <cell r="A24">
            <v>39530</v>
          </cell>
          <cell r="B24">
            <v>250.53</v>
          </cell>
          <cell r="C24">
            <v>3161.59</v>
          </cell>
          <cell r="D24">
            <v>360.18</v>
          </cell>
          <cell r="E24">
            <v>674.71</v>
          </cell>
          <cell r="F24">
            <v>265.63</v>
          </cell>
          <cell r="G24">
            <v>5.64</v>
          </cell>
          <cell r="H24">
            <v>227.6</v>
          </cell>
          <cell r="J24">
            <v>3024.4700000000003</v>
          </cell>
        </row>
        <row r="25">
          <cell r="A25">
            <v>39531</v>
          </cell>
          <cell r="B25">
            <v>24725.15</v>
          </cell>
          <cell r="C25">
            <v>2895.38</v>
          </cell>
          <cell r="D25">
            <v>31442.56</v>
          </cell>
          <cell r="E25">
            <v>20353.82</v>
          </cell>
          <cell r="F25">
            <v>20988.5</v>
          </cell>
          <cell r="G25">
            <v>1540.93</v>
          </cell>
          <cell r="H25">
            <v>10506.58</v>
          </cell>
          <cell r="J25">
            <v>75023.76000000001</v>
          </cell>
          <cell r="K25">
            <v>72777</v>
          </cell>
        </row>
        <row r="26">
          <cell r="A26">
            <v>39532</v>
          </cell>
          <cell r="B26">
            <v>27237.55</v>
          </cell>
          <cell r="C26">
            <v>5269.37</v>
          </cell>
          <cell r="D26">
            <v>38086.18</v>
          </cell>
          <cell r="E26">
            <v>19861.79</v>
          </cell>
          <cell r="F26">
            <v>21824.94</v>
          </cell>
          <cell r="G26">
            <v>1318.38</v>
          </cell>
          <cell r="H26">
            <v>11204.23</v>
          </cell>
          <cell r="J26">
            <v>68372.07000000002</v>
          </cell>
          <cell r="K26">
            <v>90373</v>
          </cell>
        </row>
        <row r="27">
          <cell r="A27">
            <v>39533</v>
          </cell>
          <cell r="B27">
            <v>33357.69</v>
          </cell>
          <cell r="C27">
            <v>3472.3</v>
          </cell>
          <cell r="D27">
            <v>31832.99</v>
          </cell>
          <cell r="E27">
            <v>18957.84</v>
          </cell>
          <cell r="F27">
            <v>24766.31</v>
          </cell>
          <cell r="G27">
            <v>1386.02</v>
          </cell>
          <cell r="H27">
            <v>10624.2</v>
          </cell>
          <cell r="J27">
            <v>72857.25999999998</v>
          </cell>
          <cell r="K27">
            <v>88832</v>
          </cell>
        </row>
        <row r="28">
          <cell r="A28">
            <v>39534</v>
          </cell>
          <cell r="B28">
            <v>33494.08</v>
          </cell>
          <cell r="C28">
            <v>4415.27</v>
          </cell>
          <cell r="D28">
            <v>43250.87</v>
          </cell>
          <cell r="E28">
            <v>24086.13</v>
          </cell>
          <cell r="F28">
            <v>24776</v>
          </cell>
          <cell r="G28">
            <v>1473.33</v>
          </cell>
          <cell r="H28">
            <v>12892.77</v>
          </cell>
          <cell r="J28">
            <v>84465.63999999998</v>
          </cell>
          <cell r="K28">
            <v>142010</v>
          </cell>
        </row>
        <row r="29">
          <cell r="A29">
            <v>39535</v>
          </cell>
          <cell r="B29">
            <v>36476.72</v>
          </cell>
          <cell r="C29">
            <v>6944.51</v>
          </cell>
          <cell r="D29">
            <v>40268.49</v>
          </cell>
          <cell r="E29">
            <v>17960.3</v>
          </cell>
          <cell r="F29">
            <v>18299.31</v>
          </cell>
          <cell r="G29">
            <v>1219.78</v>
          </cell>
          <cell r="H29">
            <v>10543.23</v>
          </cell>
          <cell r="J29">
            <v>62520.18000000002</v>
          </cell>
          <cell r="K29">
            <v>124726</v>
          </cell>
        </row>
        <row r="30">
          <cell r="A30">
            <v>39536</v>
          </cell>
          <cell r="B30">
            <v>21703.52</v>
          </cell>
          <cell r="C30">
            <v>9540.3</v>
          </cell>
          <cell r="D30">
            <v>22729.07</v>
          </cell>
          <cell r="E30">
            <v>9552.92</v>
          </cell>
          <cell r="F30">
            <v>13987.93</v>
          </cell>
          <cell r="G30">
            <v>535.22</v>
          </cell>
          <cell r="H30">
            <v>6431.7</v>
          </cell>
          <cell r="J30">
            <v>40170.59000000002</v>
          </cell>
          <cell r="K30">
            <v>65854</v>
          </cell>
        </row>
        <row r="31">
          <cell r="A31">
            <v>39537</v>
          </cell>
          <cell r="B31">
            <v>10548.74</v>
          </cell>
          <cell r="C31">
            <v>4459.66</v>
          </cell>
          <cell r="D31">
            <v>15126.7</v>
          </cell>
          <cell r="E31">
            <v>5636.08</v>
          </cell>
          <cell r="F31">
            <v>7641.25</v>
          </cell>
          <cell r="G31">
            <v>242.26</v>
          </cell>
          <cell r="H31">
            <v>7217.46</v>
          </cell>
          <cell r="J31">
            <v>24356.49</v>
          </cell>
          <cell r="K31">
            <v>35608</v>
          </cell>
        </row>
        <row r="32">
          <cell r="A32">
            <v>39538</v>
          </cell>
          <cell r="B32">
            <v>29312.21</v>
          </cell>
          <cell r="C32">
            <v>8941.36</v>
          </cell>
          <cell r="D32">
            <v>35574.2</v>
          </cell>
          <cell r="E32">
            <v>15512.63</v>
          </cell>
          <cell r="F32">
            <v>20507.42</v>
          </cell>
          <cell r="G32">
            <v>1247.99</v>
          </cell>
          <cell r="H32">
            <v>14052.9</v>
          </cell>
          <cell r="J32">
            <v>56367.83000000002</v>
          </cell>
          <cell r="K32">
            <v>96891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3"/>
    </sheetNames>
    <sheetDataSet>
      <sheetData sheetId="0">
        <row r="4">
          <cell r="I4">
            <v>3661.5</v>
          </cell>
        </row>
        <row r="5">
          <cell r="I5">
            <v>4206.41</v>
          </cell>
        </row>
        <row r="6">
          <cell r="I6">
            <v>3076.62</v>
          </cell>
        </row>
        <row r="7">
          <cell r="I7">
            <v>3405.11</v>
          </cell>
        </row>
        <row r="8">
          <cell r="I8">
            <v>3284.93</v>
          </cell>
        </row>
        <row r="9">
          <cell r="I9">
            <v>2059.09</v>
          </cell>
        </row>
        <row r="10">
          <cell r="I10">
            <v>0</v>
          </cell>
        </row>
        <row r="11">
          <cell r="I11">
            <v>2724.02</v>
          </cell>
        </row>
        <row r="12">
          <cell r="I12">
            <v>2708</v>
          </cell>
        </row>
        <row r="13">
          <cell r="I13">
            <v>3132.69</v>
          </cell>
        </row>
        <row r="14">
          <cell r="I14">
            <v>3861.7</v>
          </cell>
        </row>
        <row r="15">
          <cell r="I15">
            <v>3901.84</v>
          </cell>
        </row>
        <row r="16">
          <cell r="I16">
            <v>2283.38</v>
          </cell>
        </row>
        <row r="17">
          <cell r="I17">
            <v>1370.06</v>
          </cell>
        </row>
        <row r="18">
          <cell r="I18">
            <v>2764.17</v>
          </cell>
        </row>
        <row r="19">
          <cell r="I19">
            <v>3925.94</v>
          </cell>
        </row>
        <row r="20">
          <cell r="I20">
            <v>3429.19</v>
          </cell>
        </row>
        <row r="21">
          <cell r="I21">
            <v>3541.37</v>
          </cell>
        </row>
        <row r="22">
          <cell r="I22">
            <v>2387.54</v>
          </cell>
        </row>
        <row r="23">
          <cell r="I23">
            <v>1810.74</v>
          </cell>
        </row>
        <row r="24">
          <cell r="I24">
            <v>0</v>
          </cell>
        </row>
        <row r="25">
          <cell r="I25">
            <v>3733.59</v>
          </cell>
        </row>
        <row r="26">
          <cell r="I26">
            <v>4374.66</v>
          </cell>
        </row>
        <row r="27">
          <cell r="I27">
            <v>4094.17</v>
          </cell>
        </row>
        <row r="28">
          <cell r="I28">
            <v>5191.82</v>
          </cell>
        </row>
        <row r="29">
          <cell r="I29">
            <v>6233.32</v>
          </cell>
        </row>
        <row r="30">
          <cell r="I30">
            <v>3757.67</v>
          </cell>
        </row>
        <row r="31">
          <cell r="I31">
            <v>1514.3</v>
          </cell>
        </row>
        <row r="32">
          <cell r="I32">
            <v>6281.53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4"/>
      <sheetName val="MONTH3"/>
      <sheetName val="MONTH"/>
      <sheetName val="MONTH34"/>
    </sheetNames>
    <sheetDataSet>
      <sheetData sheetId="0">
        <row r="2">
          <cell r="A2">
            <v>39539</v>
          </cell>
          <cell r="B2">
            <v>36348.91</v>
          </cell>
          <cell r="C2">
            <v>7465.82</v>
          </cell>
          <cell r="D2">
            <v>44124.65</v>
          </cell>
          <cell r="E2">
            <v>19616.33</v>
          </cell>
          <cell r="F2">
            <v>21454.39</v>
          </cell>
          <cell r="G2">
            <v>895.84</v>
          </cell>
          <cell r="H2">
            <v>11652.06</v>
          </cell>
          <cell r="J2">
            <v>69948.42000000009</v>
          </cell>
          <cell r="K2">
            <v>100328</v>
          </cell>
        </row>
        <row r="3">
          <cell r="A3">
            <v>39540</v>
          </cell>
          <cell r="B3">
            <v>30151.8</v>
          </cell>
          <cell r="C3">
            <v>6900.09</v>
          </cell>
          <cell r="D3">
            <v>35008.18</v>
          </cell>
          <cell r="E3">
            <v>19723.22</v>
          </cell>
          <cell r="F3">
            <v>23019.72</v>
          </cell>
          <cell r="G3">
            <v>977.52</v>
          </cell>
          <cell r="H3">
            <v>8113.12</v>
          </cell>
          <cell r="J3">
            <v>63740.11000000006</v>
          </cell>
          <cell r="K3">
            <v>108083</v>
          </cell>
        </row>
        <row r="4">
          <cell r="A4">
            <v>39541</v>
          </cell>
          <cell r="B4">
            <v>36542.92</v>
          </cell>
          <cell r="C4">
            <v>6168.01</v>
          </cell>
          <cell r="D4">
            <v>43514.97</v>
          </cell>
          <cell r="E4">
            <v>22231</v>
          </cell>
          <cell r="F4">
            <v>24202.22</v>
          </cell>
          <cell r="G4">
            <v>1253.62</v>
          </cell>
          <cell r="H4">
            <v>10712.12</v>
          </cell>
          <cell r="J4">
            <v>63335.07999999995</v>
          </cell>
          <cell r="K4">
            <v>112907</v>
          </cell>
        </row>
        <row r="5">
          <cell r="A5">
            <v>39542</v>
          </cell>
          <cell r="B5">
            <v>35090.9</v>
          </cell>
          <cell r="C5">
            <v>6156.88</v>
          </cell>
          <cell r="D5">
            <v>34574.5</v>
          </cell>
          <cell r="E5">
            <v>18761.33</v>
          </cell>
          <cell r="F5">
            <v>23698.71</v>
          </cell>
          <cell r="G5">
            <v>1498.64</v>
          </cell>
          <cell r="H5">
            <v>11549.17</v>
          </cell>
          <cell r="J5">
            <v>61879.40999999997</v>
          </cell>
          <cell r="K5">
            <v>76565</v>
          </cell>
        </row>
        <row r="6">
          <cell r="A6">
            <v>39543</v>
          </cell>
          <cell r="B6">
            <v>15546.2</v>
          </cell>
          <cell r="C6">
            <v>10261.38</v>
          </cell>
          <cell r="D6">
            <v>16587.71</v>
          </cell>
          <cell r="E6">
            <v>6773.8</v>
          </cell>
          <cell r="F6">
            <v>15229.12</v>
          </cell>
          <cell r="G6">
            <v>233.83</v>
          </cell>
          <cell r="H6">
            <v>3274.63</v>
          </cell>
          <cell r="J6">
            <v>40906.399999999994</v>
          </cell>
          <cell r="K6">
            <v>41218</v>
          </cell>
        </row>
        <row r="7">
          <cell r="A7">
            <v>39544</v>
          </cell>
          <cell r="B7">
            <v>9539.67</v>
          </cell>
          <cell r="C7">
            <v>7266.16</v>
          </cell>
          <cell r="D7">
            <v>5099.73</v>
          </cell>
          <cell r="E7">
            <v>2070.32</v>
          </cell>
          <cell r="F7">
            <v>9111.6</v>
          </cell>
          <cell r="G7">
            <v>225.36</v>
          </cell>
          <cell r="H7">
            <v>176.21</v>
          </cell>
          <cell r="J7">
            <v>27845.759999999987</v>
          </cell>
        </row>
        <row r="8">
          <cell r="A8">
            <v>39545</v>
          </cell>
          <cell r="B8">
            <v>33798.86</v>
          </cell>
          <cell r="C8">
            <v>6800.24</v>
          </cell>
          <cell r="D8">
            <v>39916.18</v>
          </cell>
          <cell r="E8">
            <v>24031.95</v>
          </cell>
          <cell r="F8">
            <v>23364.33</v>
          </cell>
          <cell r="G8">
            <v>1772.03</v>
          </cell>
          <cell r="H8">
            <v>9933.95</v>
          </cell>
          <cell r="J8">
            <v>61099.96000000002</v>
          </cell>
          <cell r="K8">
            <v>114699</v>
          </cell>
        </row>
        <row r="9">
          <cell r="A9">
            <v>39546</v>
          </cell>
          <cell r="B9">
            <v>35439.19</v>
          </cell>
          <cell r="C9">
            <v>9129.73</v>
          </cell>
          <cell r="D9">
            <v>38136</v>
          </cell>
          <cell r="E9">
            <v>20028.06</v>
          </cell>
          <cell r="F9">
            <v>22436.01</v>
          </cell>
          <cell r="G9">
            <v>1346.61</v>
          </cell>
          <cell r="H9">
            <v>12701.99</v>
          </cell>
          <cell r="J9">
            <v>93236.53999999998</v>
          </cell>
          <cell r="K9">
            <v>119869</v>
          </cell>
        </row>
        <row r="10">
          <cell r="A10">
            <v>39547</v>
          </cell>
          <cell r="B10">
            <v>34980.68</v>
          </cell>
          <cell r="C10">
            <v>3394.58</v>
          </cell>
          <cell r="D10">
            <v>35986.44</v>
          </cell>
          <cell r="E10">
            <v>24776</v>
          </cell>
          <cell r="F10">
            <v>21704.16</v>
          </cell>
          <cell r="G10">
            <v>907.12</v>
          </cell>
          <cell r="H10">
            <v>11549.25</v>
          </cell>
          <cell r="J10">
            <v>71359.93999999996</v>
          </cell>
          <cell r="K10">
            <v>105218</v>
          </cell>
        </row>
        <row r="11">
          <cell r="A11">
            <v>39548</v>
          </cell>
          <cell r="B11">
            <v>32499.45</v>
          </cell>
          <cell r="C11">
            <v>7022.05</v>
          </cell>
          <cell r="D11">
            <v>38803.62</v>
          </cell>
          <cell r="E11">
            <v>24589.58</v>
          </cell>
          <cell r="F11">
            <v>22027.84</v>
          </cell>
          <cell r="G11">
            <v>876.11</v>
          </cell>
          <cell r="H11">
            <v>10073.57</v>
          </cell>
          <cell r="J11">
            <v>55359.39999999997</v>
          </cell>
          <cell r="K11">
            <v>111684</v>
          </cell>
        </row>
        <row r="12">
          <cell r="A12">
            <v>39549</v>
          </cell>
          <cell r="B12">
            <v>36761.58</v>
          </cell>
          <cell r="C12">
            <v>8974.52</v>
          </cell>
          <cell r="D12">
            <v>34836.73</v>
          </cell>
          <cell r="E12">
            <v>17340.99</v>
          </cell>
          <cell r="F12">
            <v>20386.68</v>
          </cell>
          <cell r="G12">
            <v>1155.03</v>
          </cell>
          <cell r="H12">
            <v>8340.82</v>
          </cell>
          <cell r="J12">
            <v>83180.42000000001</v>
          </cell>
          <cell r="K12">
            <v>104798</v>
          </cell>
        </row>
        <row r="13">
          <cell r="A13">
            <v>39550</v>
          </cell>
          <cell r="B13">
            <v>21307.9</v>
          </cell>
          <cell r="C13">
            <v>7754.33</v>
          </cell>
          <cell r="D13">
            <v>14706.5</v>
          </cell>
          <cell r="E13">
            <v>14187.85</v>
          </cell>
          <cell r="F13">
            <v>12643.55</v>
          </cell>
          <cell r="G13">
            <v>295.81</v>
          </cell>
          <cell r="H13">
            <v>5073.46</v>
          </cell>
          <cell r="J13">
            <v>40242.26000000003</v>
          </cell>
          <cell r="K13">
            <v>35034</v>
          </cell>
        </row>
        <row r="14">
          <cell r="A14">
            <v>39551</v>
          </cell>
          <cell r="B14">
            <v>14491.89</v>
          </cell>
          <cell r="C14">
            <v>7698.77</v>
          </cell>
          <cell r="D14">
            <v>6097.24</v>
          </cell>
          <cell r="E14">
            <v>10275.67</v>
          </cell>
          <cell r="F14">
            <v>9856.72</v>
          </cell>
          <cell r="G14">
            <v>245.11</v>
          </cell>
          <cell r="H14">
            <v>2929.54</v>
          </cell>
          <cell r="J14">
            <v>31304.219999999987</v>
          </cell>
        </row>
        <row r="15">
          <cell r="A15">
            <v>39552</v>
          </cell>
          <cell r="B15">
            <v>37745.51</v>
          </cell>
          <cell r="C15">
            <v>7532.46</v>
          </cell>
          <cell r="D15">
            <v>37539.07</v>
          </cell>
          <cell r="E15">
            <v>21559.44</v>
          </cell>
          <cell r="F15">
            <v>23110.19</v>
          </cell>
          <cell r="G15">
            <v>1208.51</v>
          </cell>
          <cell r="H15">
            <v>8377.43</v>
          </cell>
          <cell r="J15">
            <v>92730.84999999999</v>
          </cell>
          <cell r="K15">
            <v>106980</v>
          </cell>
        </row>
        <row r="16">
          <cell r="A16">
            <v>39553</v>
          </cell>
          <cell r="B16">
            <v>47777.95</v>
          </cell>
          <cell r="C16">
            <v>7399.27</v>
          </cell>
          <cell r="D16">
            <v>47198.71</v>
          </cell>
          <cell r="E16">
            <v>20771.99</v>
          </cell>
          <cell r="F16">
            <v>22916.78</v>
          </cell>
          <cell r="G16">
            <v>1247.98</v>
          </cell>
          <cell r="H16">
            <v>11453.84</v>
          </cell>
          <cell r="J16">
            <v>73759.39000000007</v>
          </cell>
          <cell r="K16">
            <v>138087</v>
          </cell>
        </row>
        <row r="17">
          <cell r="A17">
            <v>39554</v>
          </cell>
          <cell r="B17">
            <v>37349.7</v>
          </cell>
          <cell r="C17">
            <v>8253.42</v>
          </cell>
          <cell r="D17">
            <v>39322.41</v>
          </cell>
          <cell r="E17">
            <v>19164.14</v>
          </cell>
          <cell r="F17">
            <v>25421.93</v>
          </cell>
          <cell r="G17">
            <v>915.5</v>
          </cell>
          <cell r="H17">
            <v>11049.91</v>
          </cell>
          <cell r="J17">
            <v>73080.75999999997</v>
          </cell>
          <cell r="K17">
            <v>129148</v>
          </cell>
        </row>
        <row r="18">
          <cell r="A18">
            <v>39555</v>
          </cell>
          <cell r="B18">
            <v>40896.47</v>
          </cell>
          <cell r="C18">
            <v>7621.03</v>
          </cell>
          <cell r="D18">
            <v>37090.87</v>
          </cell>
          <cell r="E18">
            <v>20905.78</v>
          </cell>
          <cell r="F18">
            <v>22799.6</v>
          </cell>
          <cell r="G18">
            <v>1219.77</v>
          </cell>
          <cell r="H18">
            <v>11424.59</v>
          </cell>
          <cell r="J18">
            <v>69229.87999999996</v>
          </cell>
          <cell r="K18">
            <v>98755</v>
          </cell>
        </row>
        <row r="19">
          <cell r="A19">
            <v>39556</v>
          </cell>
          <cell r="B19">
            <v>30457.46</v>
          </cell>
          <cell r="C19">
            <v>6534.05</v>
          </cell>
          <cell r="D19">
            <v>39408.04</v>
          </cell>
          <cell r="E19">
            <v>17483.55</v>
          </cell>
          <cell r="F19">
            <v>18554.79</v>
          </cell>
          <cell r="G19">
            <v>1293.06</v>
          </cell>
          <cell r="H19">
            <v>9904.52</v>
          </cell>
          <cell r="J19">
            <v>55037.329999999994</v>
          </cell>
          <cell r="K19">
            <v>99111</v>
          </cell>
        </row>
        <row r="20">
          <cell r="A20">
            <v>39557</v>
          </cell>
          <cell r="B20">
            <v>14441.16</v>
          </cell>
          <cell r="C20">
            <v>7144.18</v>
          </cell>
          <cell r="D20">
            <v>18083.79</v>
          </cell>
          <cell r="E20">
            <v>6120.99</v>
          </cell>
          <cell r="F20">
            <v>10070.85</v>
          </cell>
          <cell r="G20">
            <v>515.51</v>
          </cell>
          <cell r="H20">
            <v>2790.05</v>
          </cell>
          <cell r="J20">
            <v>34858.960000000014</v>
          </cell>
          <cell r="K20">
            <v>34391</v>
          </cell>
        </row>
        <row r="21">
          <cell r="A21">
            <v>39558</v>
          </cell>
          <cell r="B21">
            <v>5499.55</v>
          </cell>
          <cell r="C21">
            <v>7332.74</v>
          </cell>
          <cell r="D21">
            <v>4549.94</v>
          </cell>
          <cell r="E21">
            <v>8943.54</v>
          </cell>
          <cell r="F21">
            <v>9928.53</v>
          </cell>
          <cell r="G21">
            <v>50.71</v>
          </cell>
          <cell r="H21">
            <v>3884.09</v>
          </cell>
          <cell r="J21">
            <v>31847.879999999994</v>
          </cell>
        </row>
        <row r="22">
          <cell r="A22">
            <v>39559</v>
          </cell>
          <cell r="B22">
            <v>34507.36</v>
          </cell>
          <cell r="C22">
            <v>8164.76</v>
          </cell>
          <cell r="D22">
            <v>30299.69</v>
          </cell>
          <cell r="E22">
            <v>25576.84</v>
          </cell>
          <cell r="F22">
            <v>21141.45</v>
          </cell>
          <cell r="G22">
            <v>1233.85</v>
          </cell>
          <cell r="H22">
            <v>10066.16</v>
          </cell>
          <cell r="J22">
            <v>78776.31999999993</v>
          </cell>
          <cell r="K22">
            <v>93466</v>
          </cell>
        </row>
        <row r="23">
          <cell r="A23">
            <v>39560</v>
          </cell>
          <cell r="B23">
            <v>33644.35</v>
          </cell>
          <cell r="C23">
            <v>7543.59</v>
          </cell>
          <cell r="D23">
            <v>46967.72</v>
          </cell>
          <cell r="E23">
            <v>19029.9</v>
          </cell>
          <cell r="F23">
            <v>20832.05</v>
          </cell>
          <cell r="G23">
            <v>1340.87</v>
          </cell>
          <cell r="H23">
            <v>13296.71</v>
          </cell>
          <cell r="J23">
            <v>69627.29999999996</v>
          </cell>
          <cell r="K23">
            <v>131212</v>
          </cell>
        </row>
        <row r="24">
          <cell r="A24">
            <v>39561</v>
          </cell>
          <cell r="B24">
            <v>43173.65</v>
          </cell>
          <cell r="C24">
            <v>6706.49</v>
          </cell>
          <cell r="D24">
            <v>44973.69</v>
          </cell>
          <cell r="E24">
            <v>16784.06</v>
          </cell>
          <cell r="F24">
            <v>25797.75</v>
          </cell>
          <cell r="G24">
            <v>1113.7</v>
          </cell>
          <cell r="H24">
            <v>12412.61</v>
          </cell>
          <cell r="J24">
            <v>71461.74</v>
          </cell>
          <cell r="K24">
            <v>125473</v>
          </cell>
        </row>
        <row r="25">
          <cell r="A25">
            <v>39562</v>
          </cell>
          <cell r="B25">
            <v>37267.24</v>
          </cell>
          <cell r="C25">
            <v>8793.36</v>
          </cell>
          <cell r="D25">
            <v>47701.81</v>
          </cell>
          <cell r="E25">
            <v>19257.69</v>
          </cell>
          <cell r="F25">
            <v>25074.1</v>
          </cell>
          <cell r="G25">
            <v>1119.56</v>
          </cell>
          <cell r="H25">
            <v>13207.37</v>
          </cell>
          <cell r="J25">
            <v>66192.49999999999</v>
          </cell>
          <cell r="K25">
            <v>139024</v>
          </cell>
        </row>
        <row r="26">
          <cell r="A26">
            <v>39563</v>
          </cell>
          <cell r="B26">
            <v>39962.99</v>
          </cell>
          <cell r="C26">
            <v>6296.09</v>
          </cell>
          <cell r="D26">
            <v>40428.66</v>
          </cell>
          <cell r="E26">
            <v>18728.59</v>
          </cell>
          <cell r="F26">
            <v>17926.41</v>
          </cell>
          <cell r="G26">
            <v>1297.84</v>
          </cell>
          <cell r="H26">
            <v>9412.59</v>
          </cell>
          <cell r="J26">
            <v>76867.02</v>
          </cell>
          <cell r="K26">
            <v>106644</v>
          </cell>
        </row>
        <row r="27">
          <cell r="A27">
            <v>39564</v>
          </cell>
          <cell r="B27">
            <v>11755.22</v>
          </cell>
          <cell r="C27">
            <v>7445.15</v>
          </cell>
          <cell r="D27">
            <v>19813.54</v>
          </cell>
          <cell r="E27">
            <v>6660.43</v>
          </cell>
          <cell r="F27">
            <v>9522.13</v>
          </cell>
          <cell r="G27">
            <v>198.77</v>
          </cell>
          <cell r="H27">
            <v>2953.11</v>
          </cell>
          <cell r="J27">
            <v>30614.43999999999</v>
          </cell>
          <cell r="K27">
            <v>49734</v>
          </cell>
        </row>
        <row r="28">
          <cell r="A28">
            <v>39565</v>
          </cell>
          <cell r="B28">
            <v>8221.22</v>
          </cell>
          <cell r="C28">
            <v>6530.57</v>
          </cell>
          <cell r="D28">
            <v>10635.42</v>
          </cell>
          <cell r="E28">
            <v>7148.82</v>
          </cell>
          <cell r="F28">
            <v>7799.76</v>
          </cell>
          <cell r="G28">
            <v>263.1</v>
          </cell>
          <cell r="H28">
            <v>2446.65</v>
          </cell>
          <cell r="J28">
            <v>28865.629999999997</v>
          </cell>
          <cell r="K28">
            <v>29563</v>
          </cell>
        </row>
        <row r="29">
          <cell r="A29">
            <v>39566</v>
          </cell>
          <cell r="B29">
            <v>28547.72</v>
          </cell>
          <cell r="C29">
            <v>8746.59</v>
          </cell>
          <cell r="D29">
            <v>48549.61</v>
          </cell>
          <cell r="E29">
            <v>22977.9</v>
          </cell>
          <cell r="F29">
            <v>22728.69</v>
          </cell>
          <cell r="G29">
            <v>1280.28</v>
          </cell>
          <cell r="H29">
            <v>12521.7</v>
          </cell>
          <cell r="J29">
            <v>65480.74999999996</v>
          </cell>
          <cell r="K29">
            <v>123045</v>
          </cell>
        </row>
        <row r="30">
          <cell r="A30">
            <v>39567</v>
          </cell>
          <cell r="B30">
            <v>40432.84</v>
          </cell>
          <cell r="C30">
            <v>7632.67</v>
          </cell>
          <cell r="D30">
            <v>49624.96</v>
          </cell>
          <cell r="E30">
            <v>21712.97</v>
          </cell>
          <cell r="F30">
            <v>23699.15</v>
          </cell>
          <cell r="G30">
            <v>1280.35</v>
          </cell>
          <cell r="H30">
            <v>12848.8</v>
          </cell>
          <cell r="J30">
            <v>69274.78000000004</v>
          </cell>
          <cell r="K30">
            <v>127233</v>
          </cell>
        </row>
        <row r="31">
          <cell r="A31">
            <v>39568</v>
          </cell>
          <cell r="B31">
            <v>39028.38</v>
          </cell>
          <cell r="C31">
            <v>7773.38</v>
          </cell>
          <cell r="D31">
            <v>38562.3</v>
          </cell>
          <cell r="E31">
            <v>21265.36</v>
          </cell>
          <cell r="F31">
            <v>24111.09</v>
          </cell>
          <cell r="G31">
            <v>1093.28</v>
          </cell>
          <cell r="H31">
            <v>9911.37</v>
          </cell>
          <cell r="J31">
            <v>68098.00999999997</v>
          </cell>
          <cell r="K31">
            <v>118899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H4"/>
    </sheetNames>
    <sheetDataSet>
      <sheetData sheetId="0">
        <row r="2">
          <cell r="I2">
            <v>3613.39</v>
          </cell>
        </row>
        <row r="3">
          <cell r="I3">
            <v>2732.1</v>
          </cell>
        </row>
        <row r="4">
          <cell r="I4">
            <v>3060.59</v>
          </cell>
        </row>
        <row r="5">
          <cell r="I5">
            <v>3196.84</v>
          </cell>
        </row>
        <row r="6">
          <cell r="I6">
            <v>753.12</v>
          </cell>
        </row>
        <row r="7">
          <cell r="I7">
            <v>264.38</v>
          </cell>
        </row>
        <row r="8">
          <cell r="I8">
            <v>3637.43</v>
          </cell>
        </row>
        <row r="9">
          <cell r="I9">
            <v>4574.87</v>
          </cell>
        </row>
        <row r="10">
          <cell r="I10">
            <v>3949.96</v>
          </cell>
        </row>
        <row r="11">
          <cell r="I11">
            <v>5247.79</v>
          </cell>
        </row>
        <row r="12">
          <cell r="I12">
            <v>5383.97</v>
          </cell>
        </row>
        <row r="13">
          <cell r="I13">
            <v>2091.17</v>
          </cell>
        </row>
        <row r="14">
          <cell r="I14">
            <v>1161.74</v>
          </cell>
        </row>
        <row r="15">
          <cell r="I15">
            <v>3509.25</v>
          </cell>
        </row>
        <row r="16">
          <cell r="I16">
            <v>3949.87</v>
          </cell>
        </row>
        <row r="17">
          <cell r="I17">
            <v>4687.09</v>
          </cell>
        </row>
        <row r="18">
          <cell r="I18">
            <v>5448.18</v>
          </cell>
        </row>
        <row r="19">
          <cell r="I19">
            <v>3525.31</v>
          </cell>
        </row>
        <row r="20">
          <cell r="I20">
            <v>2611.96</v>
          </cell>
        </row>
        <row r="21">
          <cell r="I21">
            <v>2019</v>
          </cell>
        </row>
        <row r="22">
          <cell r="I22">
            <v>4174.3</v>
          </cell>
        </row>
        <row r="23">
          <cell r="I23">
            <v>4310.46</v>
          </cell>
        </row>
        <row r="24">
          <cell r="I24">
            <v>4759.19</v>
          </cell>
        </row>
        <row r="25">
          <cell r="I25">
            <v>5584.3</v>
          </cell>
        </row>
        <row r="26">
          <cell r="I26">
            <v>5317.59</v>
          </cell>
        </row>
        <row r="27">
          <cell r="I27">
            <v>2016.99</v>
          </cell>
        </row>
        <row r="28">
          <cell r="I28">
            <v>1700.25</v>
          </cell>
        </row>
        <row r="29">
          <cell r="I29">
            <v>6426.25</v>
          </cell>
        </row>
        <row r="30">
          <cell r="I30">
            <v>5426.1</v>
          </cell>
        </row>
        <row r="31">
          <cell r="I31">
            <v>5826.15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TH5"/>
      <sheetName val="FINAL"/>
      <sheetName val="FINA"/>
      <sheetName val="FIN"/>
      <sheetName val="FI"/>
      <sheetName val="F"/>
      <sheetName val=""/>
      <sheetName val="M"/>
      <sheetName val="MO"/>
      <sheetName val="MON"/>
      <sheetName val="MONT"/>
      <sheetName val="MONTH"/>
      <sheetName val="MONH"/>
      <sheetName val="MONHT"/>
    </sheetNames>
    <sheetDataSet>
      <sheetData sheetId="0">
        <row r="2">
          <cell r="A2">
            <v>39569</v>
          </cell>
          <cell r="B2">
            <v>45999.89</v>
          </cell>
          <cell r="C2">
            <v>8629.16</v>
          </cell>
          <cell r="D2">
            <v>42684.93</v>
          </cell>
          <cell r="E2">
            <v>26485.94</v>
          </cell>
          <cell r="F2">
            <v>25969.49</v>
          </cell>
          <cell r="G2">
            <v>1011.41</v>
          </cell>
          <cell r="H2">
            <v>10885.36</v>
          </cell>
          <cell r="I2">
            <v>2842.3</v>
          </cell>
          <cell r="J2">
            <v>78550.31</v>
          </cell>
          <cell r="K2">
            <v>136029</v>
          </cell>
          <cell r="L2">
            <v>322041</v>
          </cell>
        </row>
        <row r="3">
          <cell r="A3">
            <v>39570</v>
          </cell>
          <cell r="B3">
            <v>38322.16</v>
          </cell>
          <cell r="C3">
            <v>8875.4</v>
          </cell>
          <cell r="D3">
            <v>40773.37</v>
          </cell>
          <cell r="E3">
            <v>23211.99</v>
          </cell>
          <cell r="F3">
            <v>18786.83</v>
          </cell>
          <cell r="G3">
            <v>1081.55</v>
          </cell>
          <cell r="H3">
            <v>9202.23</v>
          </cell>
          <cell r="I3">
            <v>2967.35</v>
          </cell>
          <cell r="J3">
            <v>67732.82999999997</v>
          </cell>
          <cell r="K3">
            <v>111245</v>
          </cell>
          <cell r="L3">
            <v>309013</v>
          </cell>
        </row>
        <row r="4">
          <cell r="A4">
            <v>39571</v>
          </cell>
          <cell r="B4">
            <v>13294.33</v>
          </cell>
          <cell r="C4">
            <v>8476.78</v>
          </cell>
          <cell r="D4">
            <v>11881.6</v>
          </cell>
          <cell r="E4">
            <v>8695.95</v>
          </cell>
          <cell r="F4">
            <v>9703.61</v>
          </cell>
          <cell r="G4">
            <v>236.77</v>
          </cell>
          <cell r="H4">
            <v>716.82</v>
          </cell>
          <cell r="I4">
            <v>1791.9</v>
          </cell>
          <cell r="J4">
            <v>26050.170000000013</v>
          </cell>
          <cell r="K4">
            <v>27201</v>
          </cell>
        </row>
        <row r="5">
          <cell r="A5">
            <v>39572</v>
          </cell>
          <cell r="B5">
            <v>9505.17</v>
          </cell>
          <cell r="C5">
            <v>6976.14</v>
          </cell>
          <cell r="D5">
            <v>3766.36</v>
          </cell>
          <cell r="E5">
            <v>9881.61</v>
          </cell>
          <cell r="F5">
            <v>7057.53</v>
          </cell>
          <cell r="G5">
            <v>152.01</v>
          </cell>
          <cell r="H5">
            <v>62.32</v>
          </cell>
          <cell r="I5">
            <v>0</v>
          </cell>
          <cell r="J5">
            <v>21257.660000000007</v>
          </cell>
        </row>
        <row r="6">
          <cell r="A6">
            <v>39573</v>
          </cell>
          <cell r="B6">
            <v>32383.32</v>
          </cell>
          <cell r="C6">
            <v>7738.28</v>
          </cell>
          <cell r="D6">
            <v>34860.23</v>
          </cell>
          <cell r="E6">
            <v>21703.72</v>
          </cell>
          <cell r="F6">
            <v>19593.42</v>
          </cell>
          <cell r="G6">
            <v>1350.45</v>
          </cell>
          <cell r="H6">
            <v>11430.82</v>
          </cell>
          <cell r="I6">
            <v>2750.4</v>
          </cell>
          <cell r="J6">
            <v>69417.87000000001</v>
          </cell>
          <cell r="K6">
            <v>103076</v>
          </cell>
          <cell r="L6">
            <v>208248</v>
          </cell>
        </row>
        <row r="7">
          <cell r="A7">
            <v>39574</v>
          </cell>
          <cell r="B7">
            <v>39019.65</v>
          </cell>
          <cell r="C7">
            <v>6343.07</v>
          </cell>
          <cell r="D7">
            <v>50159.07</v>
          </cell>
          <cell r="E7">
            <v>16833.59</v>
          </cell>
          <cell r="F7">
            <v>19351.7</v>
          </cell>
          <cell r="G7">
            <v>1280.31</v>
          </cell>
          <cell r="H7">
            <v>9420.34</v>
          </cell>
          <cell r="I7">
            <v>3667.32</v>
          </cell>
          <cell r="J7">
            <v>77025.87999999993</v>
          </cell>
          <cell r="K7">
            <v>155303</v>
          </cell>
          <cell r="L7">
            <v>318908</v>
          </cell>
        </row>
        <row r="8">
          <cell r="A8">
            <v>39575</v>
          </cell>
          <cell r="B8">
            <v>36758.46</v>
          </cell>
          <cell r="C8">
            <v>4772.05</v>
          </cell>
          <cell r="D8">
            <v>52343.56</v>
          </cell>
          <cell r="E8">
            <v>22564.67</v>
          </cell>
          <cell r="F8">
            <v>18005.03</v>
          </cell>
          <cell r="G8">
            <v>786.33</v>
          </cell>
          <cell r="H8">
            <v>11594.43</v>
          </cell>
          <cell r="I8">
            <v>4400.76</v>
          </cell>
          <cell r="J8">
            <v>69089.90000000001</v>
          </cell>
          <cell r="K8">
            <v>163311</v>
          </cell>
          <cell r="L8">
            <v>324069</v>
          </cell>
        </row>
        <row r="9">
          <cell r="A9">
            <v>39576</v>
          </cell>
          <cell r="B9">
            <v>40791.64</v>
          </cell>
          <cell r="C9">
            <v>6448.52</v>
          </cell>
          <cell r="D9">
            <v>40543.36</v>
          </cell>
          <cell r="E9">
            <v>17928.1</v>
          </cell>
          <cell r="F9">
            <v>19084.55</v>
          </cell>
          <cell r="G9">
            <v>733.72</v>
          </cell>
          <cell r="H9">
            <v>8773.69</v>
          </cell>
          <cell r="I9">
            <v>5234.17</v>
          </cell>
          <cell r="J9">
            <v>78148.61000000002</v>
          </cell>
          <cell r="K9">
            <v>127724</v>
          </cell>
          <cell r="L9">
            <v>363801</v>
          </cell>
        </row>
        <row r="10">
          <cell r="A10">
            <v>39577</v>
          </cell>
          <cell r="B10">
            <v>44322.69</v>
          </cell>
          <cell r="C10">
            <v>5768.51</v>
          </cell>
          <cell r="D10">
            <v>37116.04</v>
          </cell>
          <cell r="E10">
            <v>20472.18</v>
          </cell>
          <cell r="F10">
            <v>17081.84</v>
          </cell>
          <cell r="G10">
            <v>847.69</v>
          </cell>
          <cell r="H10">
            <v>9864.54</v>
          </cell>
          <cell r="I10">
            <v>5075.91</v>
          </cell>
          <cell r="J10">
            <v>73984.75999999998</v>
          </cell>
          <cell r="K10">
            <v>121081</v>
          </cell>
          <cell r="L10">
            <v>363149</v>
          </cell>
        </row>
        <row r="11">
          <cell r="A11">
            <v>39578</v>
          </cell>
          <cell r="B11">
            <v>13343.09</v>
          </cell>
          <cell r="C11">
            <v>8089.96</v>
          </cell>
          <cell r="D11">
            <v>17557.3</v>
          </cell>
          <cell r="E11">
            <v>7227.87</v>
          </cell>
          <cell r="F11">
            <v>9513.46</v>
          </cell>
          <cell r="G11">
            <v>230.92</v>
          </cell>
          <cell r="H11">
            <v>1028.48</v>
          </cell>
          <cell r="I11">
            <v>1158.51</v>
          </cell>
          <cell r="J11">
            <v>19209.680000000008</v>
          </cell>
          <cell r="K11">
            <v>45399</v>
          </cell>
        </row>
        <row r="12">
          <cell r="A12">
            <v>39579</v>
          </cell>
          <cell r="B12">
            <v>8751.22</v>
          </cell>
          <cell r="C12">
            <v>7914.09</v>
          </cell>
          <cell r="D12">
            <v>3039.39</v>
          </cell>
          <cell r="E12">
            <v>7125.25</v>
          </cell>
          <cell r="F12">
            <v>6827.51</v>
          </cell>
          <cell r="G12">
            <v>8.77</v>
          </cell>
          <cell r="H12">
            <v>771.4</v>
          </cell>
          <cell r="I12">
            <v>0</v>
          </cell>
          <cell r="J12">
            <v>26780.690000000017</v>
          </cell>
        </row>
        <row r="13">
          <cell r="A13">
            <v>39580</v>
          </cell>
          <cell r="B13">
            <v>34631.84</v>
          </cell>
          <cell r="C13">
            <v>7093.45</v>
          </cell>
          <cell r="D13">
            <v>45836.19</v>
          </cell>
          <cell r="E13">
            <v>25195.46</v>
          </cell>
          <cell r="F13">
            <v>18746.76</v>
          </cell>
          <cell r="G13">
            <v>1552.2</v>
          </cell>
          <cell r="H13">
            <v>10168.44</v>
          </cell>
          <cell r="I13">
            <v>3300.68</v>
          </cell>
          <cell r="J13">
            <v>76733.97999999995</v>
          </cell>
          <cell r="K13">
            <v>132173</v>
          </cell>
          <cell r="L13">
            <v>418336</v>
          </cell>
        </row>
        <row r="14">
          <cell r="A14">
            <v>39581</v>
          </cell>
          <cell r="B14">
            <v>38081.12</v>
          </cell>
          <cell r="C14">
            <v>5850.58</v>
          </cell>
          <cell r="D14">
            <v>44076.9</v>
          </cell>
          <cell r="E14">
            <v>20340.85</v>
          </cell>
          <cell r="F14">
            <v>22757.51</v>
          </cell>
          <cell r="G14">
            <v>1028.91</v>
          </cell>
          <cell r="H14">
            <v>10261.9</v>
          </cell>
          <cell r="I14">
            <v>3784.18</v>
          </cell>
          <cell r="J14">
            <v>63864.17</v>
          </cell>
          <cell r="K14">
            <v>130287</v>
          </cell>
          <cell r="L14">
            <v>328733</v>
          </cell>
        </row>
        <row r="15">
          <cell r="A15">
            <v>39582</v>
          </cell>
          <cell r="B15">
            <v>37860.59</v>
          </cell>
          <cell r="C15">
            <v>7234.03</v>
          </cell>
          <cell r="D15">
            <v>38725.98</v>
          </cell>
          <cell r="E15">
            <v>21355.66</v>
          </cell>
          <cell r="F15">
            <v>21961.15</v>
          </cell>
          <cell r="G15">
            <v>792.16</v>
          </cell>
          <cell r="H15">
            <v>9833.37</v>
          </cell>
          <cell r="I15">
            <v>4425.92</v>
          </cell>
          <cell r="J15">
            <v>81274.43000000008</v>
          </cell>
          <cell r="K15">
            <v>125323</v>
          </cell>
          <cell r="L15">
            <v>205000</v>
          </cell>
        </row>
        <row r="16">
          <cell r="A16">
            <v>39583</v>
          </cell>
          <cell r="B16">
            <v>39704.16</v>
          </cell>
          <cell r="C16">
            <v>5487.18</v>
          </cell>
          <cell r="D16">
            <v>29195.24</v>
          </cell>
          <cell r="E16">
            <v>16506.48</v>
          </cell>
          <cell r="F16">
            <v>21319.56</v>
          </cell>
          <cell r="G16">
            <v>914.91</v>
          </cell>
          <cell r="H16">
            <v>8423.03</v>
          </cell>
          <cell r="I16">
            <v>3609.19</v>
          </cell>
          <cell r="J16">
            <v>64354.41999999998</v>
          </cell>
          <cell r="K16">
            <v>79869</v>
          </cell>
          <cell r="L16">
            <v>351845</v>
          </cell>
        </row>
        <row r="17">
          <cell r="A17">
            <v>39584</v>
          </cell>
          <cell r="B17">
            <v>34380.51</v>
          </cell>
          <cell r="C17">
            <v>6589.24</v>
          </cell>
          <cell r="D17">
            <v>41551.34</v>
          </cell>
          <cell r="E17">
            <v>21988.69</v>
          </cell>
          <cell r="F17">
            <v>20462.02</v>
          </cell>
          <cell r="G17">
            <v>944.18</v>
          </cell>
          <cell r="H17">
            <v>8352.95</v>
          </cell>
          <cell r="I17">
            <v>3642.3</v>
          </cell>
          <cell r="J17">
            <v>61240.52000000003</v>
          </cell>
          <cell r="K17">
            <v>118598</v>
          </cell>
          <cell r="L17">
            <v>367140</v>
          </cell>
        </row>
        <row r="18">
          <cell r="A18">
            <v>39585</v>
          </cell>
          <cell r="B18">
            <v>17233.28</v>
          </cell>
          <cell r="C18">
            <v>6413.37</v>
          </cell>
          <cell r="D18">
            <v>20277.12</v>
          </cell>
          <cell r="E18">
            <v>8678.03</v>
          </cell>
          <cell r="F18">
            <v>9048.07</v>
          </cell>
          <cell r="G18">
            <v>479.39</v>
          </cell>
          <cell r="H18">
            <v>4830.98</v>
          </cell>
          <cell r="I18">
            <v>1942.03</v>
          </cell>
          <cell r="J18">
            <v>28932.439999999977</v>
          </cell>
          <cell r="K18">
            <v>48040</v>
          </cell>
          <cell r="L18">
            <v>-4852</v>
          </cell>
        </row>
        <row r="19">
          <cell r="A19">
            <v>39586</v>
          </cell>
          <cell r="B19">
            <v>8231.77</v>
          </cell>
          <cell r="C19">
            <v>7409.91</v>
          </cell>
          <cell r="D19">
            <v>13108.26</v>
          </cell>
          <cell r="E19">
            <v>6099.24</v>
          </cell>
          <cell r="F19">
            <v>11416.36</v>
          </cell>
          <cell r="G19">
            <v>190.01</v>
          </cell>
          <cell r="H19">
            <v>218.17</v>
          </cell>
          <cell r="I19">
            <v>0</v>
          </cell>
          <cell r="J19">
            <v>24836.96999999999</v>
          </cell>
          <cell r="K19">
            <v>31846</v>
          </cell>
        </row>
        <row r="20">
          <cell r="A20">
            <v>39587</v>
          </cell>
          <cell r="B20">
            <v>34260.17</v>
          </cell>
          <cell r="C20">
            <v>8582.35</v>
          </cell>
          <cell r="D20">
            <v>44389.68</v>
          </cell>
          <cell r="E20">
            <v>22979.12</v>
          </cell>
          <cell r="F20">
            <v>20011.9</v>
          </cell>
          <cell r="G20">
            <v>879.85</v>
          </cell>
          <cell r="H20">
            <v>9015.23</v>
          </cell>
          <cell r="I20">
            <v>4700.83</v>
          </cell>
          <cell r="J20">
            <v>84879.74000000002</v>
          </cell>
          <cell r="K20">
            <v>147423</v>
          </cell>
          <cell r="L20">
            <v>361736</v>
          </cell>
        </row>
        <row r="21">
          <cell r="A21">
            <v>39588</v>
          </cell>
          <cell r="B21">
            <v>40644.98</v>
          </cell>
          <cell r="C21">
            <v>7620.96</v>
          </cell>
          <cell r="D21">
            <v>41845.7</v>
          </cell>
          <cell r="E21">
            <v>25424.49</v>
          </cell>
          <cell r="F21">
            <v>19819.68</v>
          </cell>
          <cell r="G21">
            <v>1362.18</v>
          </cell>
          <cell r="H21">
            <v>7207.51</v>
          </cell>
          <cell r="I21">
            <v>3425.58</v>
          </cell>
          <cell r="J21">
            <v>67451.75000000003</v>
          </cell>
          <cell r="K21">
            <v>122921</v>
          </cell>
          <cell r="L21">
            <v>357596</v>
          </cell>
        </row>
        <row r="22">
          <cell r="A22">
            <v>39589</v>
          </cell>
          <cell r="B22">
            <v>39456.17</v>
          </cell>
          <cell r="C22">
            <v>5932.62</v>
          </cell>
          <cell r="D22">
            <v>45940.4</v>
          </cell>
          <cell r="E22">
            <v>18455.21</v>
          </cell>
          <cell r="F22">
            <v>24020.13</v>
          </cell>
          <cell r="G22">
            <v>914.93</v>
          </cell>
          <cell r="H22">
            <v>11064.57</v>
          </cell>
          <cell r="I22">
            <v>3684.05</v>
          </cell>
          <cell r="J22">
            <v>68096.65999999995</v>
          </cell>
          <cell r="K22">
            <v>131809</v>
          </cell>
          <cell r="L22">
            <v>106965</v>
          </cell>
        </row>
        <row r="23">
          <cell r="A23">
            <v>39590</v>
          </cell>
          <cell r="B23">
            <v>43612.53</v>
          </cell>
          <cell r="C23">
            <v>5956.12</v>
          </cell>
          <cell r="D23">
            <v>39992.06</v>
          </cell>
          <cell r="E23">
            <v>20035.11</v>
          </cell>
          <cell r="F23">
            <v>26838.19</v>
          </cell>
          <cell r="G23">
            <v>982.15</v>
          </cell>
          <cell r="H23">
            <v>10269.67</v>
          </cell>
          <cell r="I23">
            <v>4117.46</v>
          </cell>
          <cell r="J23">
            <v>80843.12999999998</v>
          </cell>
          <cell r="K23">
            <v>127148</v>
          </cell>
          <cell r="L23">
            <v>105793</v>
          </cell>
        </row>
        <row r="24">
          <cell r="A24">
            <v>39591</v>
          </cell>
          <cell r="B24">
            <v>37769.59</v>
          </cell>
          <cell r="C24">
            <v>6483.77</v>
          </cell>
          <cell r="D24">
            <v>30810.74</v>
          </cell>
          <cell r="E24">
            <v>20023.81</v>
          </cell>
          <cell r="F24">
            <v>22067.76</v>
          </cell>
          <cell r="G24">
            <v>1292.03</v>
          </cell>
          <cell r="H24">
            <v>6724.43</v>
          </cell>
          <cell r="I24">
            <v>3484.11</v>
          </cell>
          <cell r="J24">
            <v>75269.71000000002</v>
          </cell>
          <cell r="K24">
            <v>97945</v>
          </cell>
          <cell r="L24">
            <v>148501</v>
          </cell>
        </row>
        <row r="25">
          <cell r="A25">
            <v>39592</v>
          </cell>
          <cell r="B25">
            <v>9285.27</v>
          </cell>
          <cell r="C25">
            <v>10915.47</v>
          </cell>
          <cell r="D25">
            <v>6659.73</v>
          </cell>
          <cell r="E25">
            <v>7009.69</v>
          </cell>
          <cell r="F25">
            <v>11040.31</v>
          </cell>
          <cell r="G25">
            <v>456.02</v>
          </cell>
          <cell r="H25">
            <v>2244.06</v>
          </cell>
          <cell r="I25">
            <v>1658.67</v>
          </cell>
          <cell r="J25">
            <v>21999.130000000005</v>
          </cell>
        </row>
        <row r="26">
          <cell r="A26">
            <v>39593</v>
          </cell>
          <cell r="B26">
            <v>2613.43</v>
          </cell>
          <cell r="C26">
            <v>8570.69</v>
          </cell>
          <cell r="D26">
            <v>3904.73</v>
          </cell>
          <cell r="E26">
            <v>1767.79</v>
          </cell>
          <cell r="F26">
            <v>5790.65</v>
          </cell>
          <cell r="G26">
            <v>227.99</v>
          </cell>
          <cell r="H26">
            <v>1675.28</v>
          </cell>
          <cell r="I26">
            <v>0</v>
          </cell>
          <cell r="J26">
            <v>18070.12999999999</v>
          </cell>
        </row>
        <row r="27">
          <cell r="A27">
            <v>39594</v>
          </cell>
          <cell r="B27">
            <v>0</v>
          </cell>
          <cell r="C27">
            <v>3025</v>
          </cell>
          <cell r="D27">
            <v>0</v>
          </cell>
          <cell r="E27">
            <v>0</v>
          </cell>
          <cell r="F27">
            <v>202.86</v>
          </cell>
          <cell r="G27">
            <v>0</v>
          </cell>
          <cell r="H27">
            <v>0</v>
          </cell>
          <cell r="I27">
            <v>0</v>
          </cell>
          <cell r="J27">
            <v>3584.73</v>
          </cell>
        </row>
        <row r="28">
          <cell r="A28">
            <v>39595</v>
          </cell>
          <cell r="B28">
            <v>33208.3</v>
          </cell>
          <cell r="C28">
            <v>5780.33</v>
          </cell>
          <cell r="D28">
            <v>38879.75</v>
          </cell>
          <cell r="E28">
            <v>19593.76</v>
          </cell>
          <cell r="F28">
            <v>20453.82</v>
          </cell>
          <cell r="G28">
            <v>1262.77</v>
          </cell>
          <cell r="H28">
            <v>10534.65</v>
          </cell>
          <cell r="I28">
            <v>4384.21</v>
          </cell>
          <cell r="J28">
            <v>76168.36999999998</v>
          </cell>
          <cell r="K28">
            <v>137491</v>
          </cell>
          <cell r="L28">
            <v>676521</v>
          </cell>
        </row>
        <row r="29">
          <cell r="A29">
            <v>39596</v>
          </cell>
          <cell r="B29">
            <v>35344.14</v>
          </cell>
          <cell r="C29">
            <v>5076.71</v>
          </cell>
          <cell r="D29">
            <v>36577.64</v>
          </cell>
          <cell r="E29">
            <v>25591.09</v>
          </cell>
          <cell r="F29">
            <v>18801.35</v>
          </cell>
          <cell r="G29">
            <v>1242.3</v>
          </cell>
          <cell r="H29">
            <v>10963.19</v>
          </cell>
          <cell r="I29">
            <v>5451.07</v>
          </cell>
          <cell r="J29">
            <v>79577.93000000001</v>
          </cell>
          <cell r="K29">
            <v>136352</v>
          </cell>
          <cell r="L29">
            <v>704329</v>
          </cell>
        </row>
        <row r="30">
          <cell r="A30">
            <v>39597</v>
          </cell>
          <cell r="B30">
            <v>40303.96</v>
          </cell>
          <cell r="C30">
            <v>3810.51</v>
          </cell>
          <cell r="D30">
            <v>37739.88</v>
          </cell>
          <cell r="E30">
            <v>27816.93</v>
          </cell>
          <cell r="F30">
            <v>22158.39</v>
          </cell>
          <cell r="G30">
            <v>1087.41</v>
          </cell>
          <cell r="H30">
            <v>9046.43</v>
          </cell>
          <cell r="I30">
            <v>4342.65</v>
          </cell>
          <cell r="J30">
            <v>60376.390000000014</v>
          </cell>
          <cell r="K30">
            <v>134664</v>
          </cell>
          <cell r="L30">
            <v>694353</v>
          </cell>
        </row>
        <row r="31">
          <cell r="A31">
            <v>39598</v>
          </cell>
          <cell r="B31">
            <v>38699.09</v>
          </cell>
          <cell r="C31">
            <v>4783.7</v>
          </cell>
          <cell r="D31">
            <v>37264.35</v>
          </cell>
          <cell r="E31">
            <v>22057.76</v>
          </cell>
          <cell r="F31">
            <v>20539.13</v>
          </cell>
          <cell r="G31">
            <v>1069.86</v>
          </cell>
          <cell r="H31">
            <v>10971.07</v>
          </cell>
          <cell r="I31">
            <v>5317.56</v>
          </cell>
          <cell r="J31">
            <v>88030.05999999995</v>
          </cell>
          <cell r="K31">
            <v>85784</v>
          </cell>
        </row>
        <row r="32">
          <cell r="A32">
            <v>39599</v>
          </cell>
          <cell r="B32">
            <v>21336.45</v>
          </cell>
          <cell r="C32">
            <v>10856.87</v>
          </cell>
          <cell r="D32">
            <v>9799.19</v>
          </cell>
          <cell r="E32">
            <v>10932.31</v>
          </cell>
          <cell r="F32">
            <v>12976.45</v>
          </cell>
          <cell r="G32">
            <v>502.77</v>
          </cell>
          <cell r="H32">
            <v>8999.74</v>
          </cell>
          <cell r="I32">
            <v>4959.34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6"/>
      <sheetName val="MONTH5"/>
      <sheetName val="MONTH"/>
    </sheetNames>
    <sheetDataSet>
      <sheetData sheetId="0">
        <row r="3">
          <cell r="A3">
            <v>39601</v>
          </cell>
          <cell r="B3">
            <v>9124.82</v>
          </cell>
          <cell r="C3">
            <v>3822.2</v>
          </cell>
          <cell r="D3">
            <v>11456.08</v>
          </cell>
          <cell r="E3">
            <v>9792.2</v>
          </cell>
          <cell r="F3">
            <v>7723.18</v>
          </cell>
          <cell r="G3">
            <v>450.16</v>
          </cell>
          <cell r="H3">
            <v>3218.04</v>
          </cell>
          <cell r="I3">
            <v>816.92</v>
          </cell>
          <cell r="J3">
            <v>24323.880000000012</v>
          </cell>
          <cell r="K3">
            <v>32358</v>
          </cell>
        </row>
        <row r="4">
          <cell r="A4">
            <v>39602</v>
          </cell>
          <cell r="B4">
            <v>40526.79</v>
          </cell>
          <cell r="C4">
            <v>7632.76</v>
          </cell>
          <cell r="D4">
            <v>40071.75</v>
          </cell>
          <cell r="E4">
            <v>18262.3</v>
          </cell>
          <cell r="F4">
            <v>20554.93</v>
          </cell>
          <cell r="G4">
            <v>1221.81</v>
          </cell>
          <cell r="H4">
            <v>8828.17</v>
          </cell>
          <cell r="I4">
            <v>2442.22</v>
          </cell>
          <cell r="J4">
            <v>75739.70000000001</v>
          </cell>
          <cell r="K4">
            <v>129353</v>
          </cell>
          <cell r="L4">
            <v>177205</v>
          </cell>
        </row>
        <row r="5">
          <cell r="A5">
            <v>39603</v>
          </cell>
          <cell r="B5">
            <v>33287</v>
          </cell>
          <cell r="C5">
            <v>4584.35</v>
          </cell>
          <cell r="D5">
            <v>46871.19</v>
          </cell>
          <cell r="E5">
            <v>18794.28</v>
          </cell>
          <cell r="F5">
            <v>23033.44</v>
          </cell>
          <cell r="G5">
            <v>1049.4</v>
          </cell>
          <cell r="H5">
            <v>9506.13</v>
          </cell>
          <cell r="I5">
            <v>2909.04</v>
          </cell>
          <cell r="J5">
            <v>84039.55000000003</v>
          </cell>
          <cell r="K5">
            <v>145824</v>
          </cell>
          <cell r="L5">
            <v>264961</v>
          </cell>
        </row>
        <row r="6">
          <cell r="A6">
            <v>39604</v>
          </cell>
          <cell r="B6">
            <v>39577.63</v>
          </cell>
          <cell r="C6">
            <v>5956.12</v>
          </cell>
          <cell r="D6">
            <v>34001.07</v>
          </cell>
          <cell r="E6">
            <v>20359.75</v>
          </cell>
          <cell r="F6">
            <v>21308.05</v>
          </cell>
          <cell r="G6">
            <v>625.54</v>
          </cell>
          <cell r="H6">
            <v>7628.27</v>
          </cell>
          <cell r="I6">
            <v>2825.51</v>
          </cell>
        </row>
        <row r="7">
          <cell r="A7">
            <v>39605</v>
          </cell>
          <cell r="B7">
            <v>40442.44</v>
          </cell>
          <cell r="C7">
            <v>6237.5</v>
          </cell>
          <cell r="D7">
            <v>32696.11</v>
          </cell>
          <cell r="E7">
            <v>17519.78</v>
          </cell>
          <cell r="F7">
            <v>20154.57</v>
          </cell>
          <cell r="G7">
            <v>920.74</v>
          </cell>
          <cell r="H7">
            <v>7589.33</v>
          </cell>
          <cell r="I7">
            <v>4559.17</v>
          </cell>
          <cell r="J7">
            <v>82381.25000000003</v>
          </cell>
          <cell r="K7">
            <v>85809</v>
          </cell>
          <cell r="L7">
            <v>314819</v>
          </cell>
        </row>
        <row r="8">
          <cell r="A8">
            <v>39606</v>
          </cell>
          <cell r="B8">
            <v>26520.46</v>
          </cell>
          <cell r="C8">
            <v>7609.27</v>
          </cell>
          <cell r="D8">
            <v>26349.16</v>
          </cell>
          <cell r="E8">
            <v>9871.98</v>
          </cell>
          <cell r="F8">
            <v>11453.67</v>
          </cell>
          <cell r="G8">
            <v>330.32</v>
          </cell>
          <cell r="H8">
            <v>1534.95</v>
          </cell>
          <cell r="I8">
            <v>1191.95</v>
          </cell>
          <cell r="J8">
            <v>34361.57000000001</v>
          </cell>
          <cell r="K8">
            <v>77623</v>
          </cell>
        </row>
        <row r="9">
          <cell r="A9">
            <v>39607</v>
          </cell>
          <cell r="B9">
            <v>17532.43</v>
          </cell>
          <cell r="C9">
            <v>7011.23</v>
          </cell>
          <cell r="D9">
            <v>19174.67</v>
          </cell>
          <cell r="E9">
            <v>5480.33</v>
          </cell>
          <cell r="F9">
            <v>8426.59</v>
          </cell>
          <cell r="G9">
            <v>172.47</v>
          </cell>
          <cell r="H9">
            <v>1909</v>
          </cell>
          <cell r="I9">
            <v>0</v>
          </cell>
          <cell r="J9">
            <v>31134.520000000004</v>
          </cell>
          <cell r="K9">
            <v>52358</v>
          </cell>
        </row>
        <row r="10">
          <cell r="A10">
            <v>39608</v>
          </cell>
          <cell r="B10">
            <v>31595.01</v>
          </cell>
          <cell r="C10">
            <v>6600.98</v>
          </cell>
          <cell r="D10">
            <v>40536.13</v>
          </cell>
          <cell r="E10">
            <v>19545.93</v>
          </cell>
          <cell r="F10">
            <v>19405.98</v>
          </cell>
          <cell r="G10">
            <v>926.61</v>
          </cell>
          <cell r="H10">
            <v>8002.33</v>
          </cell>
          <cell r="I10">
            <v>2492.28</v>
          </cell>
          <cell r="J10">
            <v>44964.85000000001</v>
          </cell>
          <cell r="K10">
            <v>136249</v>
          </cell>
          <cell r="L10">
            <v>146563</v>
          </cell>
        </row>
        <row r="11">
          <cell r="A11">
            <v>39609</v>
          </cell>
          <cell r="B11">
            <v>37599.28</v>
          </cell>
          <cell r="C11">
            <v>5698.21</v>
          </cell>
          <cell r="D11">
            <v>45740.49</v>
          </cell>
          <cell r="E11">
            <v>19849.52</v>
          </cell>
          <cell r="F11">
            <v>23361.21</v>
          </cell>
          <cell r="G11">
            <v>1008.47</v>
          </cell>
          <cell r="H11">
            <v>10799.63</v>
          </cell>
          <cell r="I11">
            <v>3225.81</v>
          </cell>
          <cell r="J11">
            <v>50146.47999999999</v>
          </cell>
          <cell r="K11">
            <v>146421</v>
          </cell>
          <cell r="L11">
            <v>200567</v>
          </cell>
        </row>
        <row r="12">
          <cell r="A12">
            <v>39610</v>
          </cell>
          <cell r="B12">
            <v>32093.87</v>
          </cell>
          <cell r="C12">
            <v>5323.06</v>
          </cell>
          <cell r="D12">
            <v>39086.04</v>
          </cell>
          <cell r="E12">
            <v>18805.13</v>
          </cell>
          <cell r="F12">
            <v>22793.11</v>
          </cell>
          <cell r="G12">
            <v>1148.8</v>
          </cell>
          <cell r="H12">
            <v>9420.46</v>
          </cell>
          <cell r="I12">
            <v>2133.72</v>
          </cell>
          <cell r="J12">
            <v>58227.25999999999</v>
          </cell>
          <cell r="K12">
            <v>152456</v>
          </cell>
        </row>
        <row r="13">
          <cell r="A13">
            <v>39611</v>
          </cell>
          <cell r="B13">
            <v>39519.83</v>
          </cell>
          <cell r="C13">
            <v>6940.92</v>
          </cell>
          <cell r="D13">
            <v>29971.41</v>
          </cell>
          <cell r="E13">
            <v>22478.86</v>
          </cell>
          <cell r="F13">
            <v>21845.69</v>
          </cell>
          <cell r="G13">
            <v>1362.19</v>
          </cell>
          <cell r="H13">
            <v>6685.42</v>
          </cell>
          <cell r="I13">
            <v>2725.56</v>
          </cell>
          <cell r="J13">
            <v>65108.15999999996</v>
          </cell>
          <cell r="K13">
            <v>90954</v>
          </cell>
          <cell r="L13">
            <v>380709</v>
          </cell>
        </row>
        <row r="14">
          <cell r="A14">
            <v>39612</v>
          </cell>
          <cell r="B14">
            <v>44056.18</v>
          </cell>
          <cell r="C14">
            <v>8453.36</v>
          </cell>
          <cell r="D14">
            <v>30083.81</v>
          </cell>
          <cell r="E14">
            <v>16200.35</v>
          </cell>
          <cell r="F14">
            <v>21517.42</v>
          </cell>
          <cell r="G14">
            <v>1020.18</v>
          </cell>
          <cell r="H14">
            <v>7994.49</v>
          </cell>
          <cell r="I14">
            <v>3309.01</v>
          </cell>
          <cell r="J14">
            <v>52052.54000000004</v>
          </cell>
          <cell r="K14">
            <v>71480</v>
          </cell>
          <cell r="L14">
            <v>217643</v>
          </cell>
        </row>
        <row r="15">
          <cell r="A15">
            <v>39613</v>
          </cell>
          <cell r="B15">
            <v>19849.92</v>
          </cell>
          <cell r="C15">
            <v>7644.43</v>
          </cell>
          <cell r="D15">
            <v>12306.1</v>
          </cell>
          <cell r="E15">
            <v>7610.72</v>
          </cell>
          <cell r="F15">
            <v>10750.57</v>
          </cell>
          <cell r="G15">
            <v>298.14</v>
          </cell>
          <cell r="H15">
            <v>1916.78</v>
          </cell>
          <cell r="I15">
            <v>1316.9</v>
          </cell>
          <cell r="J15">
            <v>31773.280000000006</v>
          </cell>
          <cell r="K15">
            <v>22464</v>
          </cell>
        </row>
        <row r="16">
          <cell r="A16">
            <v>39614</v>
          </cell>
          <cell r="B16">
            <v>14845.37</v>
          </cell>
          <cell r="C16">
            <v>8054.77</v>
          </cell>
          <cell r="D16">
            <v>7178.33</v>
          </cell>
          <cell r="E16">
            <v>7135.22</v>
          </cell>
          <cell r="F16">
            <v>7109.87</v>
          </cell>
          <cell r="G16">
            <v>198.76</v>
          </cell>
          <cell r="H16">
            <v>2516.79</v>
          </cell>
          <cell r="I16">
            <v>0</v>
          </cell>
          <cell r="J16">
            <v>20880.509999999995</v>
          </cell>
        </row>
        <row r="17">
          <cell r="A17">
            <v>39615</v>
          </cell>
          <cell r="B17">
            <v>32591.11</v>
          </cell>
          <cell r="C17">
            <v>5416.81</v>
          </cell>
          <cell r="D17">
            <v>35616.42</v>
          </cell>
          <cell r="E17">
            <v>23471.78</v>
          </cell>
          <cell r="F17">
            <v>20955</v>
          </cell>
          <cell r="G17">
            <v>1452.8</v>
          </cell>
          <cell r="H17">
            <v>10597.03</v>
          </cell>
          <cell r="I17">
            <v>3792.44</v>
          </cell>
          <cell r="J17">
            <v>65802.46999999997</v>
          </cell>
          <cell r="K17">
            <v>112818</v>
          </cell>
          <cell r="L17">
            <v>212390</v>
          </cell>
        </row>
        <row r="18">
          <cell r="A18">
            <v>39616</v>
          </cell>
          <cell r="B18">
            <v>35149.26</v>
          </cell>
          <cell r="C18">
            <v>7538.92</v>
          </cell>
          <cell r="D18">
            <v>38505.11</v>
          </cell>
          <cell r="E18">
            <v>23478.25</v>
          </cell>
          <cell r="F18">
            <v>20330.39</v>
          </cell>
          <cell r="G18">
            <v>1224.81</v>
          </cell>
          <cell r="H18">
            <v>12217.74</v>
          </cell>
          <cell r="I18">
            <v>3358.97</v>
          </cell>
          <cell r="J18">
            <v>67141.35999999996</v>
          </cell>
          <cell r="K18">
            <v>109948</v>
          </cell>
          <cell r="L18">
            <v>370154</v>
          </cell>
        </row>
        <row r="19">
          <cell r="A19">
            <v>39617</v>
          </cell>
          <cell r="B19">
            <v>43565.15</v>
          </cell>
          <cell r="C19">
            <v>4302.9</v>
          </cell>
          <cell r="D19">
            <v>48055.69</v>
          </cell>
          <cell r="E19">
            <v>21378.77</v>
          </cell>
          <cell r="F19">
            <v>22583.74</v>
          </cell>
          <cell r="G19">
            <v>967.54</v>
          </cell>
          <cell r="H19">
            <v>12482.71</v>
          </cell>
          <cell r="I19">
            <v>3675.59</v>
          </cell>
          <cell r="J19">
            <v>50004.31999999998</v>
          </cell>
          <cell r="K19">
            <v>156135</v>
          </cell>
          <cell r="L19">
            <v>178401</v>
          </cell>
        </row>
        <row r="20">
          <cell r="A20">
            <v>39618</v>
          </cell>
          <cell r="B20">
            <v>47052.64</v>
          </cell>
          <cell r="C20">
            <v>7116.84</v>
          </cell>
          <cell r="D20">
            <v>43674.46</v>
          </cell>
          <cell r="E20">
            <v>22530.36</v>
          </cell>
          <cell r="F20">
            <v>20681.44</v>
          </cell>
          <cell r="G20">
            <v>1128.3</v>
          </cell>
          <cell r="H20">
            <v>11641.15</v>
          </cell>
          <cell r="I20">
            <v>4225.74</v>
          </cell>
          <cell r="J20">
            <v>76440.51999999993</v>
          </cell>
          <cell r="K20">
            <v>131030</v>
          </cell>
          <cell r="L20">
            <v>434460</v>
          </cell>
        </row>
        <row r="21">
          <cell r="A21">
            <v>39619</v>
          </cell>
          <cell r="B21">
            <v>36063.48</v>
          </cell>
          <cell r="C21">
            <v>6190.58</v>
          </cell>
          <cell r="D21">
            <v>29998.18</v>
          </cell>
          <cell r="E21">
            <v>20201.48</v>
          </cell>
          <cell r="F21">
            <v>17205.88</v>
          </cell>
          <cell r="G21">
            <v>1061.1</v>
          </cell>
          <cell r="H21">
            <v>9716.48</v>
          </cell>
          <cell r="I21">
            <v>3709</v>
          </cell>
          <cell r="J21">
            <v>71208.72999999997</v>
          </cell>
          <cell r="K21">
            <v>89333</v>
          </cell>
          <cell r="L21">
            <v>386798</v>
          </cell>
        </row>
        <row r="22">
          <cell r="A22">
            <v>39620</v>
          </cell>
          <cell r="B22">
            <v>15289.65</v>
          </cell>
          <cell r="C22">
            <v>8570.64</v>
          </cell>
          <cell r="D22">
            <v>11778.28</v>
          </cell>
          <cell r="E22">
            <v>9975.69</v>
          </cell>
          <cell r="F22">
            <v>9257.87</v>
          </cell>
          <cell r="G22">
            <v>333.24</v>
          </cell>
          <cell r="H22">
            <v>3919.26</v>
          </cell>
          <cell r="I22">
            <v>1733.61</v>
          </cell>
          <cell r="J22">
            <v>31776.32999999999</v>
          </cell>
          <cell r="K22">
            <v>28302</v>
          </cell>
        </row>
        <row r="23">
          <cell r="A23">
            <v>39621</v>
          </cell>
          <cell r="B23">
            <v>6261.64</v>
          </cell>
          <cell r="C23">
            <v>7398.2</v>
          </cell>
          <cell r="D23">
            <v>5109.29</v>
          </cell>
          <cell r="E23">
            <v>5337.1</v>
          </cell>
          <cell r="F23">
            <v>7998.26</v>
          </cell>
          <cell r="G23">
            <v>125.69</v>
          </cell>
          <cell r="H23">
            <v>1550.61</v>
          </cell>
          <cell r="I23">
            <v>816.79</v>
          </cell>
          <cell r="J23">
            <v>22230.619999999995</v>
          </cell>
        </row>
        <row r="24">
          <cell r="A24">
            <v>39622</v>
          </cell>
          <cell r="B24">
            <v>33448.85</v>
          </cell>
          <cell r="C24">
            <v>7726.48</v>
          </cell>
          <cell r="D24">
            <v>37068.34</v>
          </cell>
          <cell r="E24">
            <v>19604.97</v>
          </cell>
          <cell r="F24">
            <v>19790.46</v>
          </cell>
          <cell r="G24">
            <v>1008.47</v>
          </cell>
          <cell r="H24">
            <v>10480.14</v>
          </cell>
          <cell r="I24">
            <v>5109.28</v>
          </cell>
          <cell r="J24">
            <v>55921.42000000005</v>
          </cell>
          <cell r="K24">
            <v>113048</v>
          </cell>
          <cell r="L24">
            <v>470806</v>
          </cell>
        </row>
        <row r="25">
          <cell r="A25">
            <v>39623</v>
          </cell>
          <cell r="B25">
            <v>40876.55</v>
          </cell>
          <cell r="C25">
            <v>6636.07</v>
          </cell>
          <cell r="D25">
            <v>45398.77</v>
          </cell>
          <cell r="E25">
            <v>18210.99</v>
          </cell>
          <cell r="F25">
            <v>21332.07</v>
          </cell>
          <cell r="G25">
            <v>1470.29</v>
          </cell>
          <cell r="H25">
            <v>10238.51</v>
          </cell>
          <cell r="I25">
            <v>4684.38</v>
          </cell>
          <cell r="J25">
            <v>84351.45000000001</v>
          </cell>
          <cell r="K25">
            <v>129766</v>
          </cell>
          <cell r="L25">
            <v>354254</v>
          </cell>
        </row>
        <row r="26">
          <cell r="A26">
            <v>39624</v>
          </cell>
          <cell r="B26">
            <v>41377.14</v>
          </cell>
          <cell r="C26">
            <v>6811.97</v>
          </cell>
          <cell r="D26">
            <v>44659.53</v>
          </cell>
          <cell r="E26">
            <v>18925.8</v>
          </cell>
          <cell r="F26">
            <v>19870.85</v>
          </cell>
          <cell r="G26">
            <v>1195.58</v>
          </cell>
          <cell r="H26">
            <v>12420.29</v>
          </cell>
          <cell r="I26">
            <v>5492.64</v>
          </cell>
          <cell r="J26">
            <v>74836.71000000005</v>
          </cell>
          <cell r="K26">
            <v>161239</v>
          </cell>
          <cell r="L26">
            <v>286683</v>
          </cell>
        </row>
        <row r="27">
          <cell r="A27">
            <v>39625</v>
          </cell>
          <cell r="B27">
            <v>42437.86</v>
          </cell>
          <cell r="C27">
            <v>8547.2</v>
          </cell>
          <cell r="D27">
            <v>35245.06</v>
          </cell>
          <cell r="E27">
            <v>23157.54</v>
          </cell>
          <cell r="F27">
            <v>22534.41</v>
          </cell>
          <cell r="G27">
            <v>1376.78</v>
          </cell>
          <cell r="H27">
            <v>14064.4</v>
          </cell>
          <cell r="I27">
            <v>4684.22</v>
          </cell>
          <cell r="J27">
            <v>81968.74999999991</v>
          </cell>
          <cell r="K27">
            <v>119798</v>
          </cell>
          <cell r="L27">
            <v>1130017</v>
          </cell>
        </row>
        <row r="28">
          <cell r="A28">
            <v>39626</v>
          </cell>
          <cell r="B28">
            <v>38519.67</v>
          </cell>
          <cell r="C28">
            <v>5135.38</v>
          </cell>
          <cell r="D28">
            <v>33486.59</v>
          </cell>
          <cell r="E28">
            <v>23348.53</v>
          </cell>
          <cell r="F28">
            <v>22172.45</v>
          </cell>
          <cell r="G28">
            <v>1183.88</v>
          </cell>
          <cell r="H28">
            <v>12357.98</v>
          </cell>
          <cell r="I28">
            <v>6792.7</v>
          </cell>
          <cell r="J28">
            <v>47671.01000000005</v>
          </cell>
          <cell r="K28">
            <v>93821</v>
          </cell>
          <cell r="L28">
            <v>793963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TH7"/>
      <sheetName val="MONTH6"/>
      <sheetName val="MONTH"/>
    </sheetNames>
    <sheetDataSet>
      <sheetData sheetId="0">
        <row r="2">
          <cell r="A2">
            <v>39630</v>
          </cell>
          <cell r="B2">
            <v>40735.39</v>
          </cell>
          <cell r="C2">
            <v>7011.21</v>
          </cell>
          <cell r="D2">
            <v>36810.79</v>
          </cell>
          <cell r="E2">
            <v>23471.29</v>
          </cell>
          <cell r="F2">
            <v>23631.9</v>
          </cell>
          <cell r="G2">
            <v>1169.26</v>
          </cell>
          <cell r="H2">
            <v>8843.77</v>
          </cell>
          <cell r="I2">
            <v>2367.16</v>
          </cell>
          <cell r="J2">
            <v>78014.70999999998</v>
          </cell>
          <cell r="K2">
            <v>106631</v>
          </cell>
          <cell r="L2">
            <v>82449</v>
          </cell>
        </row>
        <row r="3">
          <cell r="A3">
            <v>39631</v>
          </cell>
          <cell r="B3">
            <v>40732.28</v>
          </cell>
          <cell r="C3">
            <v>11337.49</v>
          </cell>
          <cell r="D3">
            <v>44029.32</v>
          </cell>
          <cell r="E3">
            <v>20541.21</v>
          </cell>
          <cell r="F3">
            <v>23440.08</v>
          </cell>
          <cell r="G3">
            <v>1204.28</v>
          </cell>
          <cell r="H3">
            <v>9997.07</v>
          </cell>
          <cell r="I3">
            <v>2550.64</v>
          </cell>
          <cell r="J3">
            <v>69542.65999999999</v>
          </cell>
          <cell r="K3">
            <v>152139</v>
          </cell>
          <cell r="L3">
            <v>77807</v>
          </cell>
        </row>
        <row r="4">
          <cell r="A4">
            <v>39632</v>
          </cell>
          <cell r="B4">
            <v>40877.41</v>
          </cell>
          <cell r="C4">
            <v>6167.19</v>
          </cell>
          <cell r="D4">
            <v>36461.29</v>
          </cell>
          <cell r="E4">
            <v>18048.3</v>
          </cell>
          <cell r="F4">
            <v>20038.07</v>
          </cell>
          <cell r="G4">
            <v>754.16</v>
          </cell>
          <cell r="H4">
            <v>7433.49</v>
          </cell>
          <cell r="I4">
            <v>2925.55</v>
          </cell>
          <cell r="J4">
            <v>71924.85999999997</v>
          </cell>
          <cell r="K4">
            <v>110065</v>
          </cell>
          <cell r="L4">
            <v>240441</v>
          </cell>
        </row>
        <row r="5">
          <cell r="A5">
            <v>39633</v>
          </cell>
          <cell r="B5">
            <v>0</v>
          </cell>
          <cell r="C5">
            <v>0</v>
          </cell>
          <cell r="D5">
            <v>62.26</v>
          </cell>
          <cell r="E5">
            <v>0</v>
          </cell>
          <cell r="F5">
            <v>2804.04</v>
          </cell>
          <cell r="G5">
            <v>84.78</v>
          </cell>
          <cell r="H5">
            <v>93.5</v>
          </cell>
          <cell r="I5">
            <v>0</v>
          </cell>
          <cell r="J5">
            <v>44</v>
          </cell>
        </row>
        <row r="6">
          <cell r="A6">
            <v>39634</v>
          </cell>
          <cell r="B6">
            <v>0</v>
          </cell>
          <cell r="C6">
            <v>2766.97</v>
          </cell>
          <cell r="D6">
            <v>3362.25</v>
          </cell>
          <cell r="E6">
            <v>0</v>
          </cell>
          <cell r="F6">
            <v>4718.49</v>
          </cell>
          <cell r="G6">
            <v>333.26</v>
          </cell>
          <cell r="H6">
            <v>140.26</v>
          </cell>
          <cell r="I6">
            <v>0</v>
          </cell>
          <cell r="J6">
            <v>4425.989999999999</v>
          </cell>
        </row>
        <row r="7">
          <cell r="A7">
            <v>39635</v>
          </cell>
          <cell r="B7">
            <v>663.24</v>
          </cell>
          <cell r="C7">
            <v>7187.19</v>
          </cell>
          <cell r="D7">
            <v>2632.92</v>
          </cell>
          <cell r="E7">
            <v>331.52</v>
          </cell>
          <cell r="F7">
            <v>5963.1</v>
          </cell>
          <cell r="G7">
            <v>40.92</v>
          </cell>
          <cell r="H7">
            <v>194.8</v>
          </cell>
          <cell r="I7">
            <v>0</v>
          </cell>
          <cell r="J7">
            <v>15599.720000000001</v>
          </cell>
        </row>
        <row r="8">
          <cell r="A8">
            <v>39636</v>
          </cell>
          <cell r="B8">
            <v>29861.47</v>
          </cell>
          <cell r="C8">
            <v>4666.37</v>
          </cell>
          <cell r="D8">
            <v>43474.47</v>
          </cell>
          <cell r="E8">
            <v>14786.58</v>
          </cell>
          <cell r="F8">
            <v>19046.73</v>
          </cell>
          <cell r="G8">
            <v>812.65</v>
          </cell>
          <cell r="H8">
            <v>9576.29</v>
          </cell>
          <cell r="I8">
            <v>3834.04</v>
          </cell>
          <cell r="J8">
            <v>73518.19</v>
          </cell>
          <cell r="K8">
            <v>120634</v>
          </cell>
          <cell r="L8">
            <v>255639</v>
          </cell>
        </row>
        <row r="9">
          <cell r="A9">
            <v>39637</v>
          </cell>
          <cell r="B9">
            <v>34304.97</v>
          </cell>
          <cell r="C9">
            <v>5405.08</v>
          </cell>
          <cell r="D9">
            <v>41589.09</v>
          </cell>
          <cell r="E9">
            <v>16769.86</v>
          </cell>
          <cell r="F9">
            <v>20750.17</v>
          </cell>
          <cell r="G9">
            <v>1347.55</v>
          </cell>
          <cell r="H9">
            <v>9911.36</v>
          </cell>
          <cell r="I9">
            <v>4175.79</v>
          </cell>
          <cell r="J9">
            <v>62521.97</v>
          </cell>
          <cell r="K9">
            <v>122782</v>
          </cell>
          <cell r="L9">
            <v>221605</v>
          </cell>
        </row>
        <row r="10">
          <cell r="A10">
            <v>39638</v>
          </cell>
          <cell r="B10">
            <v>43571.46</v>
          </cell>
          <cell r="C10">
            <v>7257.48</v>
          </cell>
          <cell r="D10">
            <v>42820.4</v>
          </cell>
          <cell r="E10">
            <v>19627.03</v>
          </cell>
          <cell r="F10">
            <v>18938.06</v>
          </cell>
          <cell r="G10">
            <v>988.05</v>
          </cell>
          <cell r="H10">
            <v>12474.89</v>
          </cell>
          <cell r="I10">
            <v>4375.85</v>
          </cell>
          <cell r="J10">
            <v>85607.42999999998</v>
          </cell>
          <cell r="K10">
            <v>125882</v>
          </cell>
          <cell r="L10">
            <v>258671</v>
          </cell>
        </row>
        <row r="11">
          <cell r="A11">
            <v>39639</v>
          </cell>
          <cell r="B11">
            <v>33084.88</v>
          </cell>
          <cell r="C11">
            <v>9063.05</v>
          </cell>
          <cell r="D11">
            <v>37431.23</v>
          </cell>
          <cell r="E11">
            <v>18422.35</v>
          </cell>
          <cell r="F11">
            <v>20588.68</v>
          </cell>
          <cell r="G11">
            <v>944.17</v>
          </cell>
          <cell r="H11">
            <v>12178.78</v>
          </cell>
          <cell r="I11">
            <v>4434.22</v>
          </cell>
          <cell r="J11">
            <v>78807.87999999998</v>
          </cell>
          <cell r="K11">
            <v>118034</v>
          </cell>
          <cell r="L11">
            <v>281398</v>
          </cell>
        </row>
        <row r="12">
          <cell r="A12">
            <v>39640</v>
          </cell>
          <cell r="B12">
            <v>38019.5</v>
          </cell>
          <cell r="C12">
            <v>4572.64</v>
          </cell>
          <cell r="D12">
            <v>43071.81</v>
          </cell>
          <cell r="E12">
            <v>17981.69</v>
          </cell>
          <cell r="F12">
            <v>20171.69</v>
          </cell>
          <cell r="G12">
            <v>736.65</v>
          </cell>
          <cell r="H12">
            <v>10113.93</v>
          </cell>
          <cell r="I12">
            <v>4117.52</v>
          </cell>
          <cell r="J12">
            <v>76684.20000000001</v>
          </cell>
          <cell r="K12">
            <v>114555</v>
          </cell>
          <cell r="L12">
            <v>486064</v>
          </cell>
        </row>
        <row r="13">
          <cell r="A13">
            <v>39641</v>
          </cell>
          <cell r="B13">
            <v>7726.91</v>
          </cell>
          <cell r="C13">
            <v>9743.02</v>
          </cell>
          <cell r="D13">
            <v>17463.47</v>
          </cell>
          <cell r="E13">
            <v>8833.38</v>
          </cell>
          <cell r="F13">
            <v>11755.84</v>
          </cell>
          <cell r="G13">
            <v>388.76</v>
          </cell>
          <cell r="H13">
            <v>0</v>
          </cell>
          <cell r="I13">
            <v>0</v>
          </cell>
          <cell r="J13">
            <v>25103.519999999993</v>
          </cell>
          <cell r="K13">
            <v>41083</v>
          </cell>
        </row>
        <row r="14">
          <cell r="A14">
            <v>39642</v>
          </cell>
          <cell r="B14">
            <v>538.83</v>
          </cell>
          <cell r="C14">
            <v>8664.34</v>
          </cell>
          <cell r="D14">
            <v>14870.76</v>
          </cell>
          <cell r="E14">
            <v>2962.17</v>
          </cell>
          <cell r="F14">
            <v>7208.16</v>
          </cell>
          <cell r="G14">
            <v>236.76</v>
          </cell>
          <cell r="H14">
            <v>15.58</v>
          </cell>
          <cell r="I14">
            <v>0</v>
          </cell>
          <cell r="J14">
            <v>19336.55000000001</v>
          </cell>
          <cell r="K14">
            <v>38205</v>
          </cell>
        </row>
        <row r="15">
          <cell r="A15">
            <v>39643</v>
          </cell>
          <cell r="B15">
            <v>33884.83</v>
          </cell>
          <cell r="C15">
            <v>8840.29</v>
          </cell>
          <cell r="D15">
            <v>40222.96</v>
          </cell>
          <cell r="E15">
            <v>19852.53</v>
          </cell>
          <cell r="F15">
            <v>23024.49</v>
          </cell>
          <cell r="G15">
            <v>727.88</v>
          </cell>
          <cell r="H15">
            <v>7924.35</v>
          </cell>
          <cell r="I15">
            <v>3459.15</v>
          </cell>
          <cell r="J15">
            <v>83263.45000000003</v>
          </cell>
          <cell r="K15">
            <v>106645</v>
          </cell>
          <cell r="L15">
            <v>476914</v>
          </cell>
        </row>
        <row r="16">
          <cell r="A16">
            <v>39644</v>
          </cell>
          <cell r="B16">
            <v>39494.54</v>
          </cell>
          <cell r="C16">
            <v>8277.6</v>
          </cell>
          <cell r="D16">
            <v>42430.34</v>
          </cell>
          <cell r="E16">
            <v>20375.04</v>
          </cell>
          <cell r="F16">
            <v>23102.47</v>
          </cell>
          <cell r="G16">
            <v>1075.68</v>
          </cell>
          <cell r="H16">
            <v>12802.18</v>
          </cell>
          <cell r="I16">
            <v>3575.78</v>
          </cell>
          <cell r="J16">
            <v>83322.52000000006</v>
          </cell>
          <cell r="K16">
            <v>121948</v>
          </cell>
          <cell r="L16">
            <v>370340</v>
          </cell>
        </row>
        <row r="17">
          <cell r="A17">
            <v>39645</v>
          </cell>
          <cell r="B17">
            <v>37980.91</v>
          </cell>
          <cell r="C17">
            <v>6038.13</v>
          </cell>
          <cell r="D17">
            <v>41837.66</v>
          </cell>
          <cell r="E17">
            <v>19109.79</v>
          </cell>
          <cell r="F17">
            <v>18736.69</v>
          </cell>
          <cell r="G17">
            <v>1578.46</v>
          </cell>
          <cell r="H17">
            <v>10550.3</v>
          </cell>
          <cell r="I17">
            <v>3850.81</v>
          </cell>
          <cell r="J17">
            <v>64536.78999999997</v>
          </cell>
          <cell r="K17">
            <v>107164</v>
          </cell>
          <cell r="L17">
            <v>237880</v>
          </cell>
        </row>
        <row r="18">
          <cell r="A18">
            <v>39646</v>
          </cell>
          <cell r="B18">
            <v>39296.87</v>
          </cell>
          <cell r="C18">
            <v>5416.82</v>
          </cell>
          <cell r="D18">
            <v>38836.87</v>
          </cell>
          <cell r="E18">
            <v>16985.35</v>
          </cell>
          <cell r="F18">
            <v>20260.41</v>
          </cell>
          <cell r="G18">
            <v>1075.7</v>
          </cell>
          <cell r="H18">
            <v>10386.66</v>
          </cell>
          <cell r="I18">
            <v>4450.89</v>
          </cell>
          <cell r="J18">
            <v>77906.53999999994</v>
          </cell>
          <cell r="K18">
            <v>135096</v>
          </cell>
          <cell r="L18">
            <v>330818</v>
          </cell>
        </row>
        <row r="19">
          <cell r="A19">
            <v>39647</v>
          </cell>
          <cell r="B19">
            <v>39786.49</v>
          </cell>
          <cell r="C19">
            <v>5979.55</v>
          </cell>
          <cell r="D19">
            <v>35290.78</v>
          </cell>
          <cell r="E19">
            <v>17108.49</v>
          </cell>
          <cell r="F19">
            <v>17809.49</v>
          </cell>
          <cell r="G19">
            <v>1087.35</v>
          </cell>
          <cell r="H19">
            <v>10184.07</v>
          </cell>
          <cell r="I19">
            <v>4184.14</v>
          </cell>
          <cell r="J19">
            <v>78741.92999999998</v>
          </cell>
          <cell r="K19">
            <v>105993</v>
          </cell>
          <cell r="L19">
            <v>348336</v>
          </cell>
        </row>
        <row r="20">
          <cell r="A20">
            <v>39648</v>
          </cell>
          <cell r="B20">
            <v>9573.97</v>
          </cell>
          <cell r="C20">
            <v>8371.33</v>
          </cell>
          <cell r="D20">
            <v>8015.47</v>
          </cell>
          <cell r="E20">
            <v>7368.86</v>
          </cell>
          <cell r="F20">
            <v>8589.66</v>
          </cell>
          <cell r="G20">
            <v>403.39</v>
          </cell>
          <cell r="H20">
            <v>1511.61</v>
          </cell>
          <cell r="I20">
            <v>1508.61</v>
          </cell>
          <cell r="J20">
            <v>34011.4</v>
          </cell>
          <cell r="K20">
            <v>11166</v>
          </cell>
          <cell r="L20">
            <v>32645</v>
          </cell>
        </row>
        <row r="21">
          <cell r="A21">
            <v>39649</v>
          </cell>
          <cell r="B21">
            <v>8544.23</v>
          </cell>
          <cell r="C21">
            <v>8054.75</v>
          </cell>
          <cell r="D21">
            <v>10310.67</v>
          </cell>
          <cell r="E21">
            <v>5956.74</v>
          </cell>
          <cell r="F21">
            <v>7135.27</v>
          </cell>
          <cell r="G21">
            <v>415.06</v>
          </cell>
          <cell r="H21">
            <v>1114.24</v>
          </cell>
          <cell r="I21">
            <v>0</v>
          </cell>
          <cell r="J21">
            <v>23188.91</v>
          </cell>
          <cell r="K21">
            <v>14754</v>
          </cell>
        </row>
        <row r="22">
          <cell r="A22">
            <v>39650</v>
          </cell>
          <cell r="B22">
            <v>36410.1</v>
          </cell>
          <cell r="C22">
            <v>6872.24</v>
          </cell>
          <cell r="D22">
            <v>39221.38</v>
          </cell>
          <cell r="E22">
            <v>18678.83</v>
          </cell>
          <cell r="F22">
            <v>20875.17</v>
          </cell>
          <cell r="G22">
            <v>922.05</v>
          </cell>
          <cell r="H22">
            <v>12661.46</v>
          </cell>
          <cell r="I22">
            <v>4215.69</v>
          </cell>
          <cell r="J22">
            <v>70558.59000000004</v>
          </cell>
          <cell r="K22">
            <v>104853</v>
          </cell>
          <cell r="L22">
            <v>377084</v>
          </cell>
        </row>
        <row r="23">
          <cell r="A23">
            <v>39651</v>
          </cell>
          <cell r="B23">
            <v>36644.8</v>
          </cell>
          <cell r="C23">
            <v>7987.98</v>
          </cell>
          <cell r="D23">
            <v>51140.16</v>
          </cell>
          <cell r="E23">
            <v>21075.86</v>
          </cell>
          <cell r="F23">
            <v>26367.94</v>
          </cell>
          <cell r="G23">
            <v>1000.71</v>
          </cell>
          <cell r="H23">
            <v>9970.09</v>
          </cell>
          <cell r="I23">
            <v>5210.14</v>
          </cell>
          <cell r="J23">
            <v>78324.63000000003</v>
          </cell>
          <cell r="K23">
            <v>135874</v>
          </cell>
          <cell r="L23">
            <v>404363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4"/>
  <sheetViews>
    <sheetView zoomScale="55" zoomScaleNormal="55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" sqref="E5"/>
    </sheetView>
  </sheetViews>
  <sheetFormatPr defaultColWidth="9.140625" defaultRowHeight="12.75"/>
  <cols>
    <col min="1" max="1" width="26.140625" style="0" customWidth="1"/>
    <col min="2" max="2" width="29.140625" style="0" customWidth="1"/>
    <col min="3" max="3" width="7.28125" style="0" customWidth="1"/>
    <col min="4" max="4" width="11.8515625" style="0" customWidth="1"/>
    <col min="5" max="5" width="15.28125" style="0" customWidth="1"/>
    <col min="6" max="6" width="13.57421875" style="0" customWidth="1"/>
    <col min="7" max="7" width="11.140625" style="0" customWidth="1"/>
    <col min="8" max="8" width="15.28125" style="0" hidden="1" customWidth="1"/>
    <col min="9" max="9" width="12.00390625" style="0" customWidth="1"/>
    <col min="10" max="10" width="13.57421875" style="0" customWidth="1"/>
    <col min="11" max="11" width="13.57421875" style="0" hidden="1" customWidth="1"/>
    <col min="12" max="12" width="13.57421875" style="2" customWidth="1"/>
    <col min="13" max="13" width="15.00390625" style="0" hidden="1" customWidth="1"/>
    <col min="14" max="14" width="12.57421875" style="0" customWidth="1"/>
    <col min="15" max="15" width="15.00390625" style="0" customWidth="1"/>
    <col min="16" max="16" width="13.57421875" style="0" customWidth="1"/>
    <col min="17" max="17" width="15.00390625" style="0" hidden="1" customWidth="1"/>
    <col min="18" max="18" width="12.57421875" style="0" bestFit="1" customWidth="1"/>
    <col min="19" max="19" width="15.00390625" style="0" customWidth="1"/>
    <col min="20" max="20" width="15.140625" style="0" customWidth="1"/>
    <col min="21" max="21" width="15.00390625" style="0" hidden="1" customWidth="1"/>
    <col min="22" max="22" width="12.57421875" style="0" customWidth="1"/>
    <col min="23" max="23" width="15.00390625" style="0" customWidth="1"/>
    <col min="24" max="24" width="13.57421875" style="0" customWidth="1"/>
    <col min="25" max="25" width="12.57421875" style="0" customWidth="1"/>
    <col min="26" max="26" width="15.00390625" style="0" customWidth="1"/>
    <col min="27" max="27" width="13.57421875" style="0" hidden="1" customWidth="1"/>
    <col min="28" max="28" width="15.00390625" style="0" hidden="1" customWidth="1"/>
    <col min="29" max="29" width="12.57421875" style="0" hidden="1" customWidth="1"/>
    <col min="30" max="30" width="15.00390625" style="0" hidden="1" customWidth="1"/>
    <col min="31" max="31" width="13.57421875" style="0" hidden="1" customWidth="1"/>
    <col min="32" max="32" width="15.00390625" style="0" hidden="1" customWidth="1"/>
    <col min="33" max="33" width="12.57421875" style="0" hidden="1" customWidth="1"/>
    <col min="34" max="34" width="15.00390625" style="0" hidden="1" customWidth="1"/>
    <col min="35" max="35" width="13.57421875" style="0" hidden="1" customWidth="1"/>
    <col min="36" max="36" width="15.00390625" style="0" hidden="1" customWidth="1"/>
    <col min="37" max="37" width="12.57421875" style="0" hidden="1" customWidth="1"/>
    <col min="38" max="38" width="15.00390625" style="0" hidden="1" customWidth="1"/>
    <col min="39" max="39" width="13.57421875" style="0" hidden="1" customWidth="1"/>
    <col min="40" max="40" width="15.00390625" style="0" hidden="1" customWidth="1"/>
    <col min="41" max="41" width="12.57421875" style="0" hidden="1" customWidth="1"/>
    <col min="42" max="42" width="15.00390625" style="0" hidden="1" customWidth="1"/>
    <col min="43" max="43" width="13.57421875" style="0" hidden="1" customWidth="1"/>
    <col min="44" max="44" width="15.00390625" style="0" hidden="1" customWidth="1"/>
    <col min="45" max="45" width="12.57421875" style="0" hidden="1" customWidth="1"/>
    <col min="46" max="46" width="15.00390625" style="0" hidden="1" customWidth="1"/>
    <col min="47" max="47" width="13.57421875" style="0" hidden="1" customWidth="1"/>
    <col min="48" max="48" width="15.00390625" style="0" hidden="1" customWidth="1"/>
    <col min="49" max="49" width="12.57421875" style="0" hidden="1" customWidth="1"/>
    <col min="50" max="50" width="15.00390625" style="0" hidden="1" customWidth="1"/>
    <col min="51" max="53" width="15.00390625" style="0" customWidth="1"/>
    <col min="54" max="54" width="15.8515625" style="0" customWidth="1"/>
    <col min="55" max="55" width="14.28125" style="0" customWidth="1"/>
    <col min="56" max="56" width="20.28125" style="0" customWidth="1"/>
    <col min="57" max="57" width="16.00390625" style="0" bestFit="1" customWidth="1"/>
    <col min="58" max="58" width="4.28125" style="0" customWidth="1"/>
    <col min="59" max="59" width="13.28125" style="0" hidden="1" customWidth="1"/>
    <col min="60" max="60" width="12.57421875" style="0" hidden="1" customWidth="1"/>
    <col min="61" max="61" width="0" style="0" hidden="1" customWidth="1"/>
    <col min="62" max="62" width="14.421875" style="0" hidden="1" customWidth="1"/>
    <col min="63" max="63" width="15.8515625" style="0" customWidth="1"/>
    <col min="64" max="64" width="14.28125" style="0" customWidth="1"/>
    <col min="65" max="65" width="20.28125" style="0" customWidth="1"/>
    <col min="66" max="66" width="16.00390625" style="0" bestFit="1" customWidth="1"/>
    <col min="67" max="67" width="3.421875" style="0" hidden="1" customWidth="1"/>
    <col min="68" max="68" width="15.8515625" style="0" hidden="1" customWidth="1"/>
    <col min="69" max="69" width="14.28125" style="0" hidden="1" customWidth="1"/>
    <col min="70" max="70" width="20.28125" style="0" hidden="1" customWidth="1"/>
    <col min="71" max="71" width="16.00390625" style="0" hidden="1" customWidth="1"/>
    <col min="72" max="72" width="5.28125" style="0" hidden="1" customWidth="1"/>
    <col min="73" max="73" width="15.8515625" style="0" hidden="1" customWidth="1"/>
    <col min="74" max="74" width="14.28125" style="0" hidden="1" customWidth="1"/>
    <col min="75" max="75" width="20.28125" style="0" hidden="1" customWidth="1"/>
    <col min="76" max="76" width="16.00390625" style="0" hidden="1" customWidth="1"/>
    <col min="77" max="77" width="4.7109375" style="0" hidden="1" customWidth="1"/>
    <col min="78" max="78" width="15.8515625" style="0" customWidth="1"/>
    <col min="79" max="79" width="14.28125" style="0" customWidth="1"/>
    <col min="80" max="80" width="20.28125" style="0" customWidth="1"/>
    <col min="81" max="81" width="16.00390625" style="0" bestFit="1" customWidth="1"/>
  </cols>
  <sheetData>
    <row r="1" spans="4:49" ht="13.5" thickBot="1">
      <c r="D1" s="103"/>
      <c r="E1" s="103"/>
      <c r="F1" s="103"/>
      <c r="G1" s="103"/>
      <c r="H1" s="103"/>
      <c r="I1" s="103"/>
      <c r="J1" s="103"/>
      <c r="K1" s="103"/>
      <c r="L1" s="207"/>
      <c r="M1" s="103"/>
      <c r="N1" s="103"/>
      <c r="P1" s="103"/>
      <c r="Q1" s="103"/>
      <c r="R1" s="103"/>
      <c r="T1" s="103"/>
      <c r="U1" s="103"/>
      <c r="V1" s="103"/>
      <c r="X1" s="103"/>
      <c r="Y1" s="103"/>
      <c r="AA1" s="103"/>
      <c r="AB1" s="103"/>
      <c r="AC1" s="103"/>
      <c r="AE1" s="103"/>
      <c r="AF1" s="103"/>
      <c r="AG1" s="103"/>
      <c r="AI1" s="103"/>
      <c r="AJ1" s="103"/>
      <c r="AK1" s="103"/>
      <c r="AM1" s="103"/>
      <c r="AN1" s="103"/>
      <c r="AO1" s="103"/>
      <c r="AQ1" s="103"/>
      <c r="AR1" s="103"/>
      <c r="AS1" s="103"/>
      <c r="AU1" s="103"/>
      <c r="AV1" s="103"/>
      <c r="AW1" s="103"/>
    </row>
    <row r="2" spans="1:19" ht="24" thickBot="1">
      <c r="A2" s="254" t="s">
        <v>65</v>
      </c>
      <c r="B2" s="255"/>
      <c r="C2" s="255"/>
      <c r="D2" s="255"/>
      <c r="E2" s="255"/>
      <c r="F2" s="256"/>
      <c r="G2" s="255"/>
      <c r="H2" s="255"/>
      <c r="I2" s="255"/>
      <c r="J2" s="255"/>
      <c r="K2" s="255"/>
      <c r="L2" s="255"/>
      <c r="M2" s="255"/>
      <c r="N2" s="255"/>
      <c r="O2" s="256"/>
      <c r="S2" s="135"/>
    </row>
    <row r="3" spans="1:81" ht="70.5" thickBot="1">
      <c r="A3" s="104" t="s">
        <v>66</v>
      </c>
      <c r="B3" s="105" t="s">
        <v>67</v>
      </c>
      <c r="C3" s="106"/>
      <c r="D3" s="107" t="s">
        <v>68</v>
      </c>
      <c r="E3" s="107" t="s">
        <v>69</v>
      </c>
      <c r="F3" s="107" t="s">
        <v>70</v>
      </c>
      <c r="G3" s="107" t="s">
        <v>71</v>
      </c>
      <c r="H3" s="108" t="s">
        <v>72</v>
      </c>
      <c r="I3" s="109" t="s">
        <v>73</v>
      </c>
      <c r="J3" s="110" t="s">
        <v>70</v>
      </c>
      <c r="K3" s="109" t="s">
        <v>74</v>
      </c>
      <c r="L3" s="110" t="s">
        <v>112</v>
      </c>
      <c r="M3" s="109" t="s">
        <v>75</v>
      </c>
      <c r="N3" s="109" t="s">
        <v>76</v>
      </c>
      <c r="O3" s="108" t="s">
        <v>70</v>
      </c>
      <c r="P3" s="107" t="s">
        <v>120</v>
      </c>
      <c r="Q3" s="109" t="s">
        <v>121</v>
      </c>
      <c r="R3" s="109" t="s">
        <v>122</v>
      </c>
      <c r="S3" s="210" t="s">
        <v>70</v>
      </c>
      <c r="T3" s="107" t="s">
        <v>135</v>
      </c>
      <c r="U3" s="109" t="s">
        <v>136</v>
      </c>
      <c r="V3" s="109" t="s">
        <v>137</v>
      </c>
      <c r="W3" s="110" t="s">
        <v>70</v>
      </c>
      <c r="X3" s="107" t="s">
        <v>138</v>
      </c>
      <c r="Y3" s="109" t="s">
        <v>139</v>
      </c>
      <c r="Z3" s="110" t="s">
        <v>70</v>
      </c>
      <c r="AA3" s="107" t="s">
        <v>140</v>
      </c>
      <c r="AB3" s="109" t="s">
        <v>141</v>
      </c>
      <c r="AC3" s="109" t="s">
        <v>142</v>
      </c>
      <c r="AD3" s="110" t="s">
        <v>70</v>
      </c>
      <c r="AE3" s="107" t="s">
        <v>143</v>
      </c>
      <c r="AF3" s="109" t="s">
        <v>144</v>
      </c>
      <c r="AG3" s="109" t="s">
        <v>145</v>
      </c>
      <c r="AH3" s="110" t="s">
        <v>70</v>
      </c>
      <c r="AI3" s="107" t="s">
        <v>146</v>
      </c>
      <c r="AJ3" s="109" t="s">
        <v>147</v>
      </c>
      <c r="AK3" s="109" t="s">
        <v>148</v>
      </c>
      <c r="AL3" s="110" t="s">
        <v>70</v>
      </c>
      <c r="AM3" s="107" t="s">
        <v>149</v>
      </c>
      <c r="AN3" s="109" t="s">
        <v>150</v>
      </c>
      <c r="AO3" s="109" t="s">
        <v>151</v>
      </c>
      <c r="AP3" s="110" t="s">
        <v>70</v>
      </c>
      <c r="AQ3" s="107" t="s">
        <v>152</v>
      </c>
      <c r="AR3" s="109" t="s">
        <v>153</v>
      </c>
      <c r="AS3" s="109" t="s">
        <v>154</v>
      </c>
      <c r="AT3" s="110" t="s">
        <v>70</v>
      </c>
      <c r="AU3" s="107" t="s">
        <v>155</v>
      </c>
      <c r="AV3" s="109" t="s">
        <v>156</v>
      </c>
      <c r="AW3" s="109" t="s">
        <v>157</v>
      </c>
      <c r="AX3" s="110" t="s">
        <v>70</v>
      </c>
      <c r="AY3" s="110" t="s">
        <v>140</v>
      </c>
      <c r="AZ3" s="110" t="s">
        <v>142</v>
      </c>
      <c r="BA3" s="110" t="s">
        <v>70</v>
      </c>
      <c r="BB3" s="111" t="s">
        <v>77</v>
      </c>
      <c r="BC3" s="111" t="s">
        <v>78</v>
      </c>
      <c r="BD3" s="111" t="s">
        <v>79</v>
      </c>
      <c r="BE3" s="111" t="s">
        <v>80</v>
      </c>
      <c r="BG3" s="112" t="s">
        <v>81</v>
      </c>
      <c r="BH3" s="112" t="s">
        <v>82</v>
      </c>
      <c r="BI3" s="113"/>
      <c r="BJ3" s="112" t="s">
        <v>83</v>
      </c>
      <c r="BK3" s="111" t="s">
        <v>123</v>
      </c>
      <c r="BL3" s="111" t="s">
        <v>124</v>
      </c>
      <c r="BM3" s="111" t="s">
        <v>125</v>
      </c>
      <c r="BN3" s="111" t="s">
        <v>80</v>
      </c>
      <c r="BP3" s="111" t="s">
        <v>126</v>
      </c>
      <c r="BQ3" s="111" t="s">
        <v>127</v>
      </c>
      <c r="BR3" s="111" t="s">
        <v>128</v>
      </c>
      <c r="BS3" s="111" t="s">
        <v>80</v>
      </c>
      <c r="BU3" s="111" t="s">
        <v>129</v>
      </c>
      <c r="BV3" s="111" t="s">
        <v>130</v>
      </c>
      <c r="BW3" s="111" t="s">
        <v>131</v>
      </c>
      <c r="BX3" s="111" t="s">
        <v>80</v>
      </c>
      <c r="BZ3" s="111" t="s">
        <v>132</v>
      </c>
      <c r="CA3" s="111" t="s">
        <v>133</v>
      </c>
      <c r="CB3" s="111" t="s">
        <v>134</v>
      </c>
      <c r="CC3" s="111" t="s">
        <v>80</v>
      </c>
    </row>
    <row r="4" spans="1:81" ht="23.25">
      <c r="A4" s="257" t="s">
        <v>84</v>
      </c>
      <c r="B4" s="114" t="s">
        <v>85</v>
      </c>
      <c r="C4" s="115"/>
      <c r="D4" s="116">
        <f>$B$42*E63</f>
        <v>818.1992121712049</v>
      </c>
      <c r="E4" s="117">
        <f>$B$49*E63</f>
        <v>790.2475459477954</v>
      </c>
      <c r="F4" s="128">
        <f>E4-D4</f>
        <v>-27.95166622340946</v>
      </c>
      <c r="G4" s="119">
        <f>$B$50*$E$63</f>
        <v>781.9110840916908</v>
      </c>
      <c r="H4" s="120">
        <f>B47*0.316</f>
        <v>958.428</v>
      </c>
      <c r="I4" s="117">
        <f>$B$46*E63</f>
        <v>743.6614355754464</v>
      </c>
      <c r="J4" s="118">
        <f>G4-I4</f>
        <v>38.249648516244406</v>
      </c>
      <c r="K4" s="121"/>
      <c r="L4" s="116">
        <f>B54*L63</f>
        <v>740.6911</v>
      </c>
      <c r="M4" s="120">
        <f>$B$52*B63</f>
        <v>784.555102524938</v>
      </c>
      <c r="N4" s="117">
        <f>$B$53*E63</f>
        <v>748.0748565580899</v>
      </c>
      <c r="O4" s="118">
        <f>L4-N4</f>
        <v>-7.383756558089885</v>
      </c>
      <c r="P4" s="116">
        <f>B57*N63</f>
        <v>931.2544</v>
      </c>
      <c r="Q4" s="120">
        <f>$B$59*B63</f>
        <v>868.0992083117175</v>
      </c>
      <c r="R4" s="117">
        <f>$B$58*E63</f>
        <v>846.1508783946143</v>
      </c>
      <c r="S4" s="118">
        <f>P4-R4</f>
        <v>85.10352160538571</v>
      </c>
      <c r="T4" s="116">
        <f>B60*O63</f>
        <v>917.6928</v>
      </c>
      <c r="U4" s="120">
        <f>$B$52*J63</f>
        <v>0</v>
      </c>
      <c r="V4" s="117">
        <f>$B$61*E63</f>
        <v>760.8247393968381</v>
      </c>
      <c r="W4" s="118">
        <f>T4-V4</f>
        <v>156.8680606031619</v>
      </c>
      <c r="X4" s="116">
        <f>B72*P63</f>
        <v>924.2137999999999</v>
      </c>
      <c r="Y4" s="117">
        <f>$B$62*E63</f>
        <v>775.0457625631341</v>
      </c>
      <c r="Z4" s="118">
        <f>X4-Y4</f>
        <v>149.1680374368658</v>
      </c>
      <c r="AA4" s="116"/>
      <c r="AB4" s="120">
        <f>$B$52*R63</f>
        <v>0</v>
      </c>
      <c r="AC4" s="117">
        <f>$B$53*R63</f>
        <v>0</v>
      </c>
      <c r="AD4" s="118">
        <f>AA4-AC4</f>
        <v>0</v>
      </c>
      <c r="AE4" s="116"/>
      <c r="AF4" s="120">
        <f>$B$52*V63</f>
        <v>0</v>
      </c>
      <c r="AG4" s="117">
        <f>$B$53*V63</f>
        <v>0</v>
      </c>
      <c r="AH4" s="118">
        <f>AE4-AG4</f>
        <v>0</v>
      </c>
      <c r="AI4" s="116"/>
      <c r="AJ4" s="120">
        <f>$B$52*Y63</f>
        <v>0</v>
      </c>
      <c r="AK4" s="117">
        <f>$B$53*Y63</f>
        <v>0</v>
      </c>
      <c r="AL4" s="118">
        <f>AI4-AK4</f>
        <v>0</v>
      </c>
      <c r="AM4" s="116"/>
      <c r="AN4" s="120">
        <f>$B$52*AC63</f>
        <v>0</v>
      </c>
      <c r="AO4" s="117">
        <f>$B$53*AC63</f>
        <v>0</v>
      </c>
      <c r="AP4" s="118">
        <f>AM4-AO4</f>
        <v>0</v>
      </c>
      <c r="AQ4" s="116"/>
      <c r="AR4" s="120">
        <f>$B$52*AG63</f>
        <v>0</v>
      </c>
      <c r="AS4" s="117">
        <f>$B$53*AG63</f>
        <v>0</v>
      </c>
      <c r="AT4" s="118">
        <f>AQ4-AS4</f>
        <v>0</v>
      </c>
      <c r="AU4" s="116"/>
      <c r="AV4" s="120">
        <f>$B$52*AK63</f>
        <v>0</v>
      </c>
      <c r="AW4" s="117">
        <f>$B$53*AK63</f>
        <v>0</v>
      </c>
      <c r="AX4" s="118">
        <f>AU4-AW4</f>
        <v>0</v>
      </c>
      <c r="AY4" s="235"/>
      <c r="AZ4" s="228">
        <f>B84*E63</f>
        <v>859.3911413425451</v>
      </c>
      <c r="BA4" s="228"/>
      <c r="BB4" s="116">
        <f aca="true" t="shared" si="0" ref="BB4:BB25">AVERAGE(D4,G4,M4)</f>
        <v>794.8884662626111</v>
      </c>
      <c r="BC4" s="117">
        <f aca="true" t="shared" si="1" ref="BC4:BC25">AVERAGE(E4,I4,N4)</f>
        <v>760.6612793604439</v>
      </c>
      <c r="BD4" s="122">
        <f>BB4</f>
        <v>794.8884662626111</v>
      </c>
      <c r="BE4" s="122">
        <f aca="true" t="shared" si="2" ref="BE4:BE24">+BD4-BB4</f>
        <v>0</v>
      </c>
      <c r="BF4" s="123"/>
      <c r="BG4" s="123"/>
      <c r="BH4" s="123"/>
      <c r="BI4" s="123"/>
      <c r="BJ4" s="123"/>
      <c r="BK4" s="116">
        <f>AVERAGE(P4,T4,X4)</f>
        <v>924.3870000000001</v>
      </c>
      <c r="BL4" s="117">
        <f aca="true" t="shared" si="3" ref="BL4:BL24">AVERAGE(R4,V4,Y4)</f>
        <v>794.0071267848622</v>
      </c>
      <c r="BM4" s="122">
        <f>BK4</f>
        <v>924.3870000000001</v>
      </c>
      <c r="BN4" s="122">
        <f aca="true" t="shared" si="4" ref="BN4:BN24">+BM4-BK4</f>
        <v>0</v>
      </c>
      <c r="BP4" s="116">
        <f aca="true" t="shared" si="5" ref="BP4:BP25">AVERAGE(R4,BB4,BH4)</f>
        <v>820.5196723286127</v>
      </c>
      <c r="BQ4" s="117">
        <f aca="true" t="shared" si="6" ref="BQ4:BQ25">AVERAGE(S4,BD4,BI4)</f>
        <v>439.9959939339984</v>
      </c>
      <c r="BR4" s="122">
        <f>BP4</f>
        <v>820.5196723286127</v>
      </c>
      <c r="BS4" s="122">
        <f aca="true" t="shared" si="7" ref="BS4:BS24">+BR4-BP4</f>
        <v>0</v>
      </c>
      <c r="BU4" s="116">
        <f>AVERAGE(BD4,BG4,BM4)</f>
        <v>859.6377331313056</v>
      </c>
      <c r="BV4" s="117">
        <f>AVERAGE(BE4,BI4,BN4)</f>
        <v>0</v>
      </c>
      <c r="BW4" s="122">
        <f>BU4</f>
        <v>859.6377331313056</v>
      </c>
      <c r="BX4" s="122">
        <f aca="true" t="shared" si="8" ref="BX4:BX24">+BW4-BU4</f>
        <v>0</v>
      </c>
      <c r="BZ4" s="116">
        <f>AVERAGE(BB4,BK4)</f>
        <v>859.6377331313056</v>
      </c>
      <c r="CA4" s="117">
        <f>AVERAGE(BC4,BL4)</f>
        <v>777.334203072653</v>
      </c>
      <c r="CB4" s="122">
        <f>BZ4</f>
        <v>859.6377331313056</v>
      </c>
      <c r="CC4" s="122">
        <f aca="true" t="shared" si="9" ref="CC4:CC24">+CB4-BZ4</f>
        <v>0</v>
      </c>
    </row>
    <row r="5" spans="1:81" ht="23.25">
      <c r="A5" s="257"/>
      <c r="B5" s="124" t="s">
        <v>86</v>
      </c>
      <c r="C5" s="125"/>
      <c r="D5" s="126">
        <f>19+123+2</f>
        <v>144</v>
      </c>
      <c r="E5" s="127">
        <f>21+116+1</f>
        <v>138</v>
      </c>
      <c r="F5" s="128">
        <f>E5-D5</f>
        <v>-6</v>
      </c>
      <c r="G5" s="129">
        <f>18+118+3</f>
        <v>139</v>
      </c>
      <c r="H5" s="130"/>
      <c r="I5" s="127">
        <f>22+111+2+2+3</f>
        <v>140</v>
      </c>
      <c r="J5" s="128">
        <f>I5-G5</f>
        <v>1</v>
      </c>
      <c r="K5" s="131"/>
      <c r="L5" s="126">
        <f>18+114+3</f>
        <v>135</v>
      </c>
      <c r="M5" s="130">
        <v>135</v>
      </c>
      <c r="N5" s="127">
        <f>22+106+2+3+2</f>
        <v>135</v>
      </c>
      <c r="O5" s="128">
        <f>N5-L5</f>
        <v>0</v>
      </c>
      <c r="P5" s="126">
        <f>19+113+4</f>
        <v>136</v>
      </c>
      <c r="Q5" s="130">
        <f>130+3</f>
        <v>133</v>
      </c>
      <c r="R5" s="127">
        <f>23+100+3+2+2</f>
        <v>130</v>
      </c>
      <c r="S5" s="128">
        <f>R5-P5</f>
        <v>-6</v>
      </c>
      <c r="T5" s="126">
        <f>19+115+5</f>
        <v>139</v>
      </c>
      <c r="U5" s="130">
        <v>135</v>
      </c>
      <c r="V5" s="127">
        <f>23+97+3+2+2</f>
        <v>127</v>
      </c>
      <c r="W5" s="128">
        <f>V5-T5</f>
        <v>-12</v>
      </c>
      <c r="X5" s="126">
        <f>19+116+3</f>
        <v>138</v>
      </c>
      <c r="Y5" s="127">
        <f>23+93+3+2+4</f>
        <v>125</v>
      </c>
      <c r="Z5" s="128">
        <f>Y5-X5</f>
        <v>-13</v>
      </c>
      <c r="AA5" s="126"/>
      <c r="AB5" s="130">
        <v>135</v>
      </c>
      <c r="AC5" s="127">
        <f>22+106+2+3+2</f>
        <v>135</v>
      </c>
      <c r="AD5" s="128">
        <f>AC5-AA5</f>
        <v>135</v>
      </c>
      <c r="AE5" s="126"/>
      <c r="AF5" s="130">
        <v>135</v>
      </c>
      <c r="AG5" s="127">
        <f>22+106+2+3+2</f>
        <v>135</v>
      </c>
      <c r="AH5" s="128">
        <f>AG5-AE5</f>
        <v>135</v>
      </c>
      <c r="AI5" s="126"/>
      <c r="AJ5" s="130">
        <v>135</v>
      </c>
      <c r="AK5" s="127">
        <f>22+106+2+3+2</f>
        <v>135</v>
      </c>
      <c r="AL5" s="128">
        <f>AK5-AI5</f>
        <v>135</v>
      </c>
      <c r="AM5" s="126"/>
      <c r="AN5" s="130">
        <v>135</v>
      </c>
      <c r="AO5" s="127">
        <f>22+106+2+3+2</f>
        <v>135</v>
      </c>
      <c r="AP5" s="128">
        <f>AO5-AM5</f>
        <v>135</v>
      </c>
      <c r="AQ5" s="126"/>
      <c r="AR5" s="130">
        <v>135</v>
      </c>
      <c r="AS5" s="127">
        <f>22+106+2+3+2</f>
        <v>135</v>
      </c>
      <c r="AT5" s="128">
        <f>AS5-AQ5</f>
        <v>135</v>
      </c>
      <c r="AU5" s="126"/>
      <c r="AV5" s="130">
        <v>135</v>
      </c>
      <c r="AW5" s="127">
        <f>22+106+2+3+2</f>
        <v>135</v>
      </c>
      <c r="AX5" s="128">
        <f>AW5-AU5</f>
        <v>135</v>
      </c>
      <c r="AY5" s="236"/>
      <c r="AZ5" s="229">
        <f>23+95+3+2+3</f>
        <v>126</v>
      </c>
      <c r="BA5" s="229"/>
      <c r="BB5" s="126">
        <f t="shared" si="0"/>
        <v>139.33333333333334</v>
      </c>
      <c r="BC5" s="127">
        <f t="shared" si="1"/>
        <v>137.66666666666666</v>
      </c>
      <c r="BD5" s="132">
        <f>+BD4/BD6</f>
        <v>143.8313496145484</v>
      </c>
      <c r="BE5" s="132">
        <f t="shared" si="2"/>
        <v>4.498016281215058</v>
      </c>
      <c r="BF5" s="123"/>
      <c r="BG5" s="133"/>
      <c r="BH5" s="133"/>
      <c r="BI5" s="133"/>
      <c r="BJ5" s="133"/>
      <c r="BK5" s="126">
        <f>AVERAGE(P5,T5,X5)</f>
        <v>137.66666666666666</v>
      </c>
      <c r="BL5" s="127">
        <f t="shared" si="3"/>
        <v>127.33333333333333</v>
      </c>
      <c r="BM5" s="132">
        <f>+BM4/BM6</f>
        <v>148.2976573150751</v>
      </c>
      <c r="BN5" s="132">
        <f t="shared" si="4"/>
        <v>10.630990648408442</v>
      </c>
      <c r="BP5" s="126">
        <f t="shared" si="5"/>
        <v>134.66666666666669</v>
      </c>
      <c r="BQ5" s="127">
        <f t="shared" si="6"/>
        <v>68.9156748072742</v>
      </c>
      <c r="BR5" s="132">
        <f>+BR4/BR6</f>
        <v>279.79555538229</v>
      </c>
      <c r="BS5" s="132">
        <f t="shared" si="7"/>
        <v>145.1288887156233</v>
      </c>
      <c r="BU5" s="126">
        <f aca="true" t="shared" si="10" ref="BU5:BU25">AVERAGE(BD5,BG5,BM5)</f>
        <v>146.06450346481176</v>
      </c>
      <c r="BV5" s="127">
        <f aca="true" t="shared" si="11" ref="BV5:BV25">AVERAGE(BE5,BI5,BN5)</f>
        <v>7.56450346481175</v>
      </c>
      <c r="BW5" s="132">
        <f>+BW4/BW6</f>
        <v>-2597.1902989813493</v>
      </c>
      <c r="BX5" s="132">
        <f t="shared" si="8"/>
        <v>-2743.254802446161</v>
      </c>
      <c r="BZ5" s="126">
        <f aca="true" t="shared" si="12" ref="BZ5:BZ24">AVERAGE(BB5,BK5)</f>
        <v>138.5</v>
      </c>
      <c r="CA5" s="127">
        <f aca="true" t="shared" si="13" ref="CA5:CA24">AVERAGE(BC5,BL5)</f>
        <v>132.5</v>
      </c>
      <c r="CB5" s="132">
        <f>+CB4/CB6</f>
        <v>146.1987204019269</v>
      </c>
      <c r="CC5" s="195">
        <f>+CB5-BZ5</f>
        <v>7.6987204019268916</v>
      </c>
    </row>
    <row r="6" spans="1:81" ht="24" thickBot="1">
      <c r="A6" s="258"/>
      <c r="B6" s="134" t="s">
        <v>87</v>
      </c>
      <c r="C6" s="135"/>
      <c r="D6" s="136">
        <f>D4/D5</f>
        <v>5.681938973411145</v>
      </c>
      <c r="E6" s="137">
        <f>E4/E5</f>
        <v>5.726431492375329</v>
      </c>
      <c r="F6" s="138">
        <f>D6-E6</f>
        <v>-0.0444925189641836</v>
      </c>
      <c r="G6" s="139">
        <f>G4/G5</f>
        <v>5.625259597781948</v>
      </c>
      <c r="H6" s="140"/>
      <c r="I6" s="137">
        <f>I4/I5</f>
        <v>5.311867396967474</v>
      </c>
      <c r="J6" s="138">
        <f>G6-I6</f>
        <v>0.31339220081447383</v>
      </c>
      <c r="K6" s="141"/>
      <c r="L6" s="136">
        <f>L4/L5</f>
        <v>5.486600740740741</v>
      </c>
      <c r="M6" s="142">
        <f>M4/M5</f>
        <v>5.811519277962503</v>
      </c>
      <c r="N6" s="137">
        <f>N4/N5</f>
        <v>5.541295233763629</v>
      </c>
      <c r="O6" s="138">
        <f>L6-N6</f>
        <v>-0.05469449302288787</v>
      </c>
      <c r="P6" s="136">
        <f>P4/P5</f>
        <v>6.847458823529412</v>
      </c>
      <c r="Q6" s="142">
        <f>Q4/Q5</f>
        <v>6.527061716629454</v>
      </c>
      <c r="R6" s="137">
        <f>R4/R5</f>
        <v>6.508852910727803</v>
      </c>
      <c r="S6" s="138">
        <f>P6-R6</f>
        <v>0.3386059128016097</v>
      </c>
      <c r="T6" s="136">
        <f>T4/T5</f>
        <v>6.602106474820144</v>
      </c>
      <c r="U6" s="142">
        <f>U4/U5</f>
        <v>0</v>
      </c>
      <c r="V6" s="137">
        <f>V4/V5</f>
        <v>5.9907459795026625</v>
      </c>
      <c r="W6" s="138">
        <f>T6-V6</f>
        <v>0.6113604953174816</v>
      </c>
      <c r="X6" s="136">
        <f>IF(X5="",,X4/X5)</f>
        <v>6.6972014492753615</v>
      </c>
      <c r="Y6" s="137">
        <f>Y4/Y5</f>
        <v>6.2003661005050725</v>
      </c>
      <c r="Z6" s="138">
        <f>X6-Y6</f>
        <v>0.496835348770289</v>
      </c>
      <c r="AA6" s="136"/>
      <c r="AB6" s="142">
        <f>AB4/AB5</f>
        <v>0</v>
      </c>
      <c r="AC6" s="137">
        <f>AC4/AC5</f>
        <v>0</v>
      </c>
      <c r="AD6" s="138">
        <f>AA6-AC6</f>
        <v>0</v>
      </c>
      <c r="AE6" s="136"/>
      <c r="AF6" s="142">
        <f>AF4/AF5</f>
        <v>0</v>
      </c>
      <c r="AG6" s="137">
        <f>AG4/AG5</f>
        <v>0</v>
      </c>
      <c r="AH6" s="138">
        <f>AE6-AG6</f>
        <v>0</v>
      </c>
      <c r="AI6" s="136"/>
      <c r="AJ6" s="142">
        <f>AJ4/AJ5</f>
        <v>0</v>
      </c>
      <c r="AK6" s="137">
        <f>AK4/AK5</f>
        <v>0</v>
      </c>
      <c r="AL6" s="138">
        <f>AI6-AK6</f>
        <v>0</v>
      </c>
      <c r="AM6" s="136"/>
      <c r="AN6" s="142">
        <f>AN4/AN5</f>
        <v>0</v>
      </c>
      <c r="AO6" s="137">
        <f>AO4/AO5</f>
        <v>0</v>
      </c>
      <c r="AP6" s="138">
        <f>AM6-AO6</f>
        <v>0</v>
      </c>
      <c r="AQ6" s="136"/>
      <c r="AR6" s="142">
        <f>AR4/AR5</f>
        <v>0</v>
      </c>
      <c r="AS6" s="137">
        <f>AS4/AS5</f>
        <v>0</v>
      </c>
      <c r="AT6" s="138">
        <f>AQ6-AS6</f>
        <v>0</v>
      </c>
      <c r="AU6" s="136"/>
      <c r="AV6" s="142">
        <f>AV4/AV5</f>
        <v>0</v>
      </c>
      <c r="AW6" s="137">
        <f>AW4/AW5</f>
        <v>0</v>
      </c>
      <c r="AX6" s="138">
        <f>AU6-AW6</f>
        <v>0</v>
      </c>
      <c r="AY6" s="237"/>
      <c r="AZ6" s="230">
        <f>AZ4/AZ5</f>
        <v>6.820564613829723</v>
      </c>
      <c r="BA6" s="230"/>
      <c r="BB6" s="136">
        <f t="shared" si="0"/>
        <v>5.706239283051866</v>
      </c>
      <c r="BC6" s="137">
        <f t="shared" si="1"/>
        <v>5.526531374368811</v>
      </c>
      <c r="BD6" s="143">
        <f>BC6</f>
        <v>5.526531374368811</v>
      </c>
      <c r="BE6" s="143">
        <f t="shared" si="2"/>
        <v>-0.17970790868305464</v>
      </c>
      <c r="BF6" s="123"/>
      <c r="BG6" s="123"/>
      <c r="BH6" s="123"/>
      <c r="BI6" s="123"/>
      <c r="BJ6" s="123"/>
      <c r="BK6" s="136">
        <f aca="true" t="shared" si="14" ref="BK6:BK36">AVERAGE(P6,T6,X6)</f>
        <v>6.715588915874972</v>
      </c>
      <c r="BL6" s="137">
        <f t="shared" si="3"/>
        <v>6.233321663578512</v>
      </c>
      <c r="BM6" s="143">
        <f>BL6</f>
        <v>6.233321663578512</v>
      </c>
      <c r="BN6" s="143">
        <f t="shared" si="4"/>
        <v>-0.4822672522964595</v>
      </c>
      <c r="BP6" s="136">
        <f t="shared" si="5"/>
        <v>6.107546096889834</v>
      </c>
      <c r="BQ6" s="137">
        <f t="shared" si="6"/>
        <v>2.9325686435852103</v>
      </c>
      <c r="BR6" s="143">
        <f>BQ6</f>
        <v>2.9325686435852103</v>
      </c>
      <c r="BS6" s="143">
        <f t="shared" si="7"/>
        <v>-3.1749774533046238</v>
      </c>
      <c r="BU6" s="136">
        <f t="shared" si="10"/>
        <v>5.879926518973662</v>
      </c>
      <c r="BV6" s="137">
        <f t="shared" si="11"/>
        <v>-0.33098758048975707</v>
      </c>
      <c r="BW6" s="143">
        <f>BV6</f>
        <v>-0.33098758048975707</v>
      </c>
      <c r="BX6" s="143">
        <f t="shared" si="8"/>
        <v>-6.210914099463419</v>
      </c>
      <c r="BZ6" s="136">
        <f t="shared" si="12"/>
        <v>6.210914099463419</v>
      </c>
      <c r="CA6" s="137">
        <f t="shared" si="13"/>
        <v>5.879926518973662</v>
      </c>
      <c r="CB6" s="143">
        <f>CA6</f>
        <v>5.879926518973662</v>
      </c>
      <c r="CC6" s="143">
        <f t="shared" si="9"/>
        <v>-0.33098758048975707</v>
      </c>
    </row>
    <row r="7" spans="1:81" ht="23.25">
      <c r="A7" s="257" t="s">
        <v>88</v>
      </c>
      <c r="B7" s="114" t="s">
        <v>85</v>
      </c>
      <c r="C7" s="114"/>
      <c r="D7" s="116">
        <f>$B$42*E64</f>
        <v>206.06950110852642</v>
      </c>
      <c r="E7" s="117">
        <f>$B$49*E64</f>
        <v>199.02966798704844</v>
      </c>
      <c r="F7" s="118">
        <f>D7-E7</f>
        <v>7.039833121477983</v>
      </c>
      <c r="G7" s="119">
        <f>$B$50*$E$64</f>
        <v>196.93006863502868</v>
      </c>
      <c r="H7" s="120">
        <f>B47*0.038</f>
        <v>115.25399999999999</v>
      </c>
      <c r="I7" s="117">
        <f>$B$46*E64</f>
        <v>187.29661278458514</v>
      </c>
      <c r="J7" s="118">
        <f>G7-I7</f>
        <v>9.63345585044354</v>
      </c>
      <c r="K7" s="121"/>
      <c r="L7" s="116">
        <f>B54*L64</f>
        <v>207.514</v>
      </c>
      <c r="M7" s="120">
        <v>118</v>
      </c>
      <c r="N7" s="117">
        <f>$B$53*E64</f>
        <v>188.40816538271324</v>
      </c>
      <c r="O7" s="118">
        <f>L7-N7</f>
        <v>19.105834617286774</v>
      </c>
      <c r="P7" s="116">
        <f>B57*N64</f>
        <v>229.27200000000002</v>
      </c>
      <c r="Q7" s="120">
        <f>$B$59*B64</f>
        <v>210.75580324697816</v>
      </c>
      <c r="R7" s="117">
        <f>$B$58*E64</f>
        <v>213.10933423000438</v>
      </c>
      <c r="S7" s="118">
        <f>P7-R7</f>
        <v>16.16266576999564</v>
      </c>
      <c r="T7" s="116">
        <f>B60*O64</f>
        <v>215.55839999999998</v>
      </c>
      <c r="U7" s="120">
        <v>118</v>
      </c>
      <c r="V7" s="117">
        <f>$B$61*E64</f>
        <v>191.6193173328611</v>
      </c>
      <c r="W7" s="118">
        <f>T7-V7</f>
        <v>23.939082667138877</v>
      </c>
      <c r="X7" s="116">
        <f>B72*P64</f>
        <v>200.03900000000002</v>
      </c>
      <c r="Y7" s="117">
        <f>$B$62*E64</f>
        <v>195.2009868157183</v>
      </c>
      <c r="Z7" s="118">
        <f>X7-Y7</f>
        <v>4.838013184281721</v>
      </c>
      <c r="AA7" s="116"/>
      <c r="AB7" s="120">
        <v>118</v>
      </c>
      <c r="AC7" s="117">
        <f>$B$53*R64</f>
        <v>0</v>
      </c>
      <c r="AD7" s="118">
        <f>AA7-AC7</f>
        <v>0</v>
      </c>
      <c r="AE7" s="116"/>
      <c r="AF7" s="120">
        <v>118</v>
      </c>
      <c r="AG7" s="117">
        <f>$B$53*V64</f>
        <v>0</v>
      </c>
      <c r="AH7" s="118">
        <f>AE7-AG7</f>
        <v>0</v>
      </c>
      <c r="AI7" s="116"/>
      <c r="AJ7" s="120">
        <v>118</v>
      </c>
      <c r="AK7" s="117">
        <f>$B$53*Y64</f>
        <v>0</v>
      </c>
      <c r="AL7" s="118">
        <f>AI7-AK7</f>
        <v>0</v>
      </c>
      <c r="AM7" s="116"/>
      <c r="AN7" s="120">
        <v>118</v>
      </c>
      <c r="AO7" s="117">
        <f>$B$53*AC64</f>
        <v>0</v>
      </c>
      <c r="AP7" s="118">
        <f>AM7-AO7</f>
        <v>0</v>
      </c>
      <c r="AQ7" s="116"/>
      <c r="AR7" s="120">
        <v>118</v>
      </c>
      <c r="AS7" s="117">
        <f>$B$53*AG64</f>
        <v>0</v>
      </c>
      <c r="AT7" s="118">
        <f>AQ7-AS7</f>
        <v>0</v>
      </c>
      <c r="AU7" s="116"/>
      <c r="AV7" s="120">
        <v>118</v>
      </c>
      <c r="AW7" s="117">
        <f>$B$53*AK64</f>
        <v>0</v>
      </c>
      <c r="AX7" s="118">
        <f>AU7-AW7</f>
        <v>0</v>
      </c>
      <c r="AY7" s="235"/>
      <c r="AZ7" s="228">
        <f>B84*E64</f>
        <v>216.4439920243887</v>
      </c>
      <c r="BA7" s="228"/>
      <c r="BB7" s="116">
        <f t="shared" si="0"/>
        <v>173.6665232478517</v>
      </c>
      <c r="BC7" s="117">
        <f t="shared" si="1"/>
        <v>191.5781487181156</v>
      </c>
      <c r="BD7" s="122">
        <f>BB7</f>
        <v>173.6665232478517</v>
      </c>
      <c r="BE7" s="122">
        <f t="shared" si="2"/>
        <v>0</v>
      </c>
      <c r="BF7" s="144"/>
      <c r="BG7" s="123"/>
      <c r="BH7" s="123"/>
      <c r="BI7" s="123"/>
      <c r="BJ7" s="123"/>
      <c r="BK7" s="116">
        <f t="shared" si="14"/>
        <v>214.95646666666667</v>
      </c>
      <c r="BL7" s="117">
        <f t="shared" si="3"/>
        <v>199.97654612619462</v>
      </c>
      <c r="BM7" s="122">
        <f>BK7</f>
        <v>214.95646666666667</v>
      </c>
      <c r="BN7" s="122">
        <f t="shared" si="4"/>
        <v>0</v>
      </c>
      <c r="BP7" s="116">
        <f t="shared" si="5"/>
        <v>193.38792873892805</v>
      </c>
      <c r="BQ7" s="117">
        <f t="shared" si="6"/>
        <v>94.91459450892367</v>
      </c>
      <c r="BR7" s="122">
        <f>BP7</f>
        <v>193.38792873892805</v>
      </c>
      <c r="BS7" s="122">
        <f t="shared" si="7"/>
        <v>0</v>
      </c>
      <c r="BU7" s="116">
        <f t="shared" si="10"/>
        <v>194.31149495725919</v>
      </c>
      <c r="BV7" s="117">
        <f t="shared" si="11"/>
        <v>0</v>
      </c>
      <c r="BW7" s="122">
        <f>BU7</f>
        <v>194.31149495725919</v>
      </c>
      <c r="BX7" s="122">
        <f t="shared" si="8"/>
        <v>0</v>
      </c>
      <c r="BZ7" s="116">
        <f>AVERAGE(BB7,BK7)</f>
        <v>194.31149495725919</v>
      </c>
      <c r="CA7" s="117">
        <f t="shared" si="13"/>
        <v>195.77734742215512</v>
      </c>
      <c r="CB7" s="122">
        <f>BZ7</f>
        <v>194.31149495725919</v>
      </c>
      <c r="CC7" s="122">
        <f t="shared" si="9"/>
        <v>0</v>
      </c>
    </row>
    <row r="8" spans="1:81" ht="23.25">
      <c r="A8" s="257"/>
      <c r="B8" s="124" t="s">
        <v>86</v>
      </c>
      <c r="C8" s="124"/>
      <c r="D8" s="126">
        <v>20</v>
      </c>
      <c r="E8" s="127">
        <v>20</v>
      </c>
      <c r="F8" s="128">
        <f>E8-D8</f>
        <v>0</v>
      </c>
      <c r="G8" s="129">
        <v>22</v>
      </c>
      <c r="H8" s="130"/>
      <c r="I8" s="127">
        <v>20</v>
      </c>
      <c r="J8" s="128">
        <f>I8-G8</f>
        <v>-2</v>
      </c>
      <c r="K8" s="131"/>
      <c r="L8" s="126">
        <v>22</v>
      </c>
      <c r="M8" s="130">
        <v>20</v>
      </c>
      <c r="N8" s="127">
        <v>20</v>
      </c>
      <c r="O8" s="128">
        <f>N8-L8</f>
        <v>-2</v>
      </c>
      <c r="P8" s="126">
        <v>20</v>
      </c>
      <c r="Q8" s="130">
        <v>20</v>
      </c>
      <c r="R8" s="127">
        <v>20</v>
      </c>
      <c r="S8" s="128">
        <f>R8-P8</f>
        <v>0</v>
      </c>
      <c r="T8" s="126">
        <v>20</v>
      </c>
      <c r="U8" s="130">
        <v>20</v>
      </c>
      <c r="V8" s="127">
        <v>20</v>
      </c>
      <c r="W8" s="128">
        <f>V8-T8</f>
        <v>0</v>
      </c>
      <c r="X8" s="126">
        <v>20</v>
      </c>
      <c r="Y8" s="127">
        <v>20</v>
      </c>
      <c r="Z8" s="128">
        <f>Y8-X8</f>
        <v>0</v>
      </c>
      <c r="AA8" s="126"/>
      <c r="AB8" s="130">
        <v>20</v>
      </c>
      <c r="AC8" s="127">
        <v>20</v>
      </c>
      <c r="AD8" s="128">
        <f>AC8-AA8</f>
        <v>20</v>
      </c>
      <c r="AE8" s="126"/>
      <c r="AF8" s="130">
        <v>20</v>
      </c>
      <c r="AG8" s="127">
        <v>20</v>
      </c>
      <c r="AH8" s="128">
        <f>AG8-AE8</f>
        <v>20</v>
      </c>
      <c r="AI8" s="126"/>
      <c r="AJ8" s="130">
        <v>20</v>
      </c>
      <c r="AK8" s="127">
        <v>20</v>
      </c>
      <c r="AL8" s="128">
        <f>AK8-AI8</f>
        <v>20</v>
      </c>
      <c r="AM8" s="126"/>
      <c r="AN8" s="130">
        <v>20</v>
      </c>
      <c r="AO8" s="127">
        <v>20</v>
      </c>
      <c r="AP8" s="128">
        <f>AO8-AM8</f>
        <v>20</v>
      </c>
      <c r="AQ8" s="126"/>
      <c r="AR8" s="130">
        <v>20</v>
      </c>
      <c r="AS8" s="127">
        <v>20</v>
      </c>
      <c r="AT8" s="128">
        <f>AS8-AQ8</f>
        <v>20</v>
      </c>
      <c r="AU8" s="126"/>
      <c r="AV8" s="130">
        <v>20</v>
      </c>
      <c r="AW8" s="127">
        <v>20</v>
      </c>
      <c r="AX8" s="128">
        <f>AW8-AU8</f>
        <v>20</v>
      </c>
      <c r="AY8" s="236"/>
      <c r="AZ8" s="229">
        <v>20</v>
      </c>
      <c r="BA8" s="229"/>
      <c r="BB8" s="126">
        <f t="shared" si="0"/>
        <v>20.666666666666668</v>
      </c>
      <c r="BC8" s="127">
        <f t="shared" si="1"/>
        <v>20</v>
      </c>
      <c r="BD8" s="132">
        <f>+BD7/BD9</f>
        <v>18.130097238112604</v>
      </c>
      <c r="BE8" s="132">
        <f t="shared" si="2"/>
        <v>-2.5365694285540634</v>
      </c>
      <c r="BF8" s="144"/>
      <c r="BG8" s="133"/>
      <c r="BH8" s="133"/>
      <c r="BI8" s="133"/>
      <c r="BJ8" s="133"/>
      <c r="BK8" s="126">
        <f t="shared" si="14"/>
        <v>20</v>
      </c>
      <c r="BL8" s="127">
        <f t="shared" si="3"/>
        <v>20</v>
      </c>
      <c r="BM8" s="132">
        <f>+BM7/BM9</f>
        <v>21.498167743233154</v>
      </c>
      <c r="BN8" s="132">
        <f t="shared" si="4"/>
        <v>1.4981677432331537</v>
      </c>
      <c r="BP8" s="126">
        <f t="shared" si="5"/>
        <v>20.333333333333336</v>
      </c>
      <c r="BQ8" s="127">
        <f t="shared" si="6"/>
        <v>9.065048619056302</v>
      </c>
      <c r="BR8" s="132">
        <f>+BR7/BR9</f>
        <v>37.236385967861004</v>
      </c>
      <c r="BS8" s="132">
        <f t="shared" si="7"/>
        <v>16.90305263452767</v>
      </c>
      <c r="BU8" s="126">
        <f t="shared" si="10"/>
        <v>19.81413249067288</v>
      </c>
      <c r="BV8" s="127">
        <f t="shared" si="11"/>
        <v>-0.5192008426604549</v>
      </c>
      <c r="BW8" s="132">
        <f>+BW7/BW9</f>
        <v>873.3804736402413</v>
      </c>
      <c r="BX8" s="132">
        <f t="shared" si="8"/>
        <v>853.5663411495684</v>
      </c>
      <c r="BZ8" s="126">
        <f t="shared" si="12"/>
        <v>20.333333333333336</v>
      </c>
      <c r="CA8" s="127">
        <f t="shared" si="13"/>
        <v>20</v>
      </c>
      <c r="CB8" s="132">
        <f>+CB7/CB9</f>
        <v>19.850253108013042</v>
      </c>
      <c r="CC8" s="132">
        <f t="shared" si="9"/>
        <v>-0.48308022532029327</v>
      </c>
    </row>
    <row r="9" spans="1:81" ht="24" thickBot="1">
      <c r="A9" s="258"/>
      <c r="B9" s="134" t="s">
        <v>87</v>
      </c>
      <c r="C9" s="134"/>
      <c r="D9" s="136">
        <f>D7/D8</f>
        <v>10.303475055426322</v>
      </c>
      <c r="E9" s="137">
        <f>E7/E8</f>
        <v>9.951483399352423</v>
      </c>
      <c r="F9" s="138">
        <f>D9-E9</f>
        <v>0.35199165607389915</v>
      </c>
      <c r="G9" s="139">
        <f>G7/G8</f>
        <v>8.951366756137666</v>
      </c>
      <c r="H9" s="140"/>
      <c r="I9" s="137">
        <f>I7/I8</f>
        <v>9.364830639229258</v>
      </c>
      <c r="J9" s="138">
        <f>G9-I9</f>
        <v>-0.4134638830915911</v>
      </c>
      <c r="K9" s="141"/>
      <c r="L9" s="136">
        <f>L7/L8</f>
        <v>9.432454545454545</v>
      </c>
      <c r="M9" s="142">
        <f>M7/M8</f>
        <v>5.9</v>
      </c>
      <c r="N9" s="137">
        <f>N7/N8</f>
        <v>9.420408269135661</v>
      </c>
      <c r="O9" s="138">
        <f>L9-N9</f>
        <v>0.012046276318883997</v>
      </c>
      <c r="P9" s="136">
        <f>P7/P8</f>
        <v>11.463600000000001</v>
      </c>
      <c r="Q9" s="142">
        <f>Q7/Q8</f>
        <v>10.537790162348909</v>
      </c>
      <c r="R9" s="137">
        <f>R7/R8</f>
        <v>10.65546671150022</v>
      </c>
      <c r="S9" s="138">
        <f>P9-R9</f>
        <v>0.808133288499782</v>
      </c>
      <c r="T9" s="136">
        <f>T7/T8</f>
        <v>10.777919999999998</v>
      </c>
      <c r="U9" s="142">
        <f>U7/U8</f>
        <v>5.9</v>
      </c>
      <c r="V9" s="137">
        <f>V7/V8</f>
        <v>9.580965866643055</v>
      </c>
      <c r="W9" s="138">
        <f>T9-V9</f>
        <v>1.1969541333569431</v>
      </c>
      <c r="X9" s="136">
        <f>X7/X8</f>
        <v>10.00195</v>
      </c>
      <c r="Y9" s="137">
        <f>Y7/Y8</f>
        <v>9.760049340785915</v>
      </c>
      <c r="Z9" s="138">
        <f>X9-Y9</f>
        <v>0.24190065921408532</v>
      </c>
      <c r="AA9" s="136"/>
      <c r="AB9" s="142">
        <f>AB7/AB8</f>
        <v>5.9</v>
      </c>
      <c r="AC9" s="137">
        <f>AC7/AC8</f>
        <v>0</v>
      </c>
      <c r="AD9" s="138">
        <f>AA9-AC9</f>
        <v>0</v>
      </c>
      <c r="AE9" s="136"/>
      <c r="AF9" s="142">
        <f>AF7/AF8</f>
        <v>5.9</v>
      </c>
      <c r="AG9" s="137">
        <f>AG7/AG8</f>
        <v>0</v>
      </c>
      <c r="AH9" s="138">
        <f>AE9-AG9</f>
        <v>0</v>
      </c>
      <c r="AI9" s="136"/>
      <c r="AJ9" s="142">
        <f>AJ7/AJ8</f>
        <v>5.9</v>
      </c>
      <c r="AK9" s="137">
        <f>AK7/AK8</f>
        <v>0</v>
      </c>
      <c r="AL9" s="138">
        <f>AI9-AK9</f>
        <v>0</v>
      </c>
      <c r="AM9" s="136"/>
      <c r="AN9" s="142">
        <f>AN7/AN8</f>
        <v>5.9</v>
      </c>
      <c r="AO9" s="137">
        <f>AO7/AO8</f>
        <v>0</v>
      </c>
      <c r="AP9" s="138">
        <f>AM9-AO9</f>
        <v>0</v>
      </c>
      <c r="AQ9" s="136"/>
      <c r="AR9" s="142">
        <f>AR7/AR8</f>
        <v>5.9</v>
      </c>
      <c r="AS9" s="137">
        <f>AS7/AS8</f>
        <v>0</v>
      </c>
      <c r="AT9" s="138">
        <f>AQ9-AS9</f>
        <v>0</v>
      </c>
      <c r="AU9" s="136"/>
      <c r="AV9" s="142">
        <f>AV7/AV8</f>
        <v>5.9</v>
      </c>
      <c r="AW9" s="137">
        <f>AW7/AW8</f>
        <v>0</v>
      </c>
      <c r="AX9" s="138">
        <f>AU9-AW9</f>
        <v>0</v>
      </c>
      <c r="AY9" s="237"/>
      <c r="AZ9" s="230">
        <f>AZ7/AZ8</f>
        <v>10.822199601219435</v>
      </c>
      <c r="BA9" s="230"/>
      <c r="BB9" s="136">
        <f t="shared" si="0"/>
        <v>8.38494727052133</v>
      </c>
      <c r="BC9" s="137">
        <f t="shared" si="1"/>
        <v>9.578907435905782</v>
      </c>
      <c r="BD9" s="143">
        <f>BC9</f>
        <v>9.578907435905782</v>
      </c>
      <c r="BE9" s="143">
        <f t="shared" si="2"/>
        <v>1.1939601653844516</v>
      </c>
      <c r="BF9" s="144"/>
      <c r="BG9" s="123"/>
      <c r="BH9" s="123"/>
      <c r="BI9" s="123"/>
      <c r="BJ9" s="123"/>
      <c r="BK9" s="136">
        <f t="shared" si="14"/>
        <v>10.747823333333335</v>
      </c>
      <c r="BL9" s="137">
        <f t="shared" si="3"/>
        <v>9.99882730630973</v>
      </c>
      <c r="BM9" s="143">
        <f>BL9</f>
        <v>9.99882730630973</v>
      </c>
      <c r="BN9" s="143">
        <f t="shared" si="4"/>
        <v>-0.7489960270236047</v>
      </c>
      <c r="BP9" s="136">
        <f t="shared" si="5"/>
        <v>9.520206991010774</v>
      </c>
      <c r="BQ9" s="137">
        <f t="shared" si="6"/>
        <v>5.193520362202782</v>
      </c>
      <c r="BR9" s="143">
        <f>BQ9</f>
        <v>5.193520362202782</v>
      </c>
      <c r="BS9" s="143">
        <f t="shared" si="7"/>
        <v>-4.326686628807992</v>
      </c>
      <c r="BU9" s="136">
        <f t="shared" si="10"/>
        <v>9.788867371107756</v>
      </c>
      <c r="BV9" s="137">
        <f t="shared" si="11"/>
        <v>0.22248206918042346</v>
      </c>
      <c r="BW9" s="143">
        <f>BV9</f>
        <v>0.22248206918042346</v>
      </c>
      <c r="BX9" s="143">
        <f t="shared" si="8"/>
        <v>-9.566385301927333</v>
      </c>
      <c r="BZ9" s="136">
        <f t="shared" si="12"/>
        <v>9.566385301927333</v>
      </c>
      <c r="CA9" s="137">
        <f t="shared" si="13"/>
        <v>9.788867371107756</v>
      </c>
      <c r="CB9" s="143">
        <f>CA9</f>
        <v>9.788867371107756</v>
      </c>
      <c r="CC9" s="143">
        <f t="shared" si="9"/>
        <v>0.22248206918042257</v>
      </c>
    </row>
    <row r="10" spans="1:81" ht="23.25">
      <c r="A10" s="259" t="s">
        <v>89</v>
      </c>
      <c r="B10" s="114" t="s">
        <v>85</v>
      </c>
      <c r="C10" s="114"/>
      <c r="D10" s="116">
        <f>$B$42*E65</f>
        <v>925.1207757093496</v>
      </c>
      <c r="E10" s="117">
        <f>$B$49*E65</f>
        <v>893.5164099823895</v>
      </c>
      <c r="F10" s="118">
        <f>D10-E10</f>
        <v>31.604365726960054</v>
      </c>
      <c r="G10" s="119">
        <f>$B$50*$E$65</f>
        <v>884.0905465199628</v>
      </c>
      <c r="H10" s="120">
        <f>B47*0.103</f>
        <v>312.399</v>
      </c>
      <c r="I10" s="117">
        <f>$B$46*E65</f>
        <v>840.8424671041226</v>
      </c>
      <c r="J10" s="118">
        <f>G10-I10</f>
        <v>43.24807941584015</v>
      </c>
      <c r="K10" s="121"/>
      <c r="L10" s="214">
        <f>B54*L65</f>
        <v>959.2502000000001</v>
      </c>
      <c r="M10" s="120">
        <v>319</v>
      </c>
      <c r="N10" s="117">
        <f>$B$53*E65</f>
        <v>845.8326301136427</v>
      </c>
      <c r="O10" s="118">
        <f>L10-N10</f>
        <v>113.41756988635734</v>
      </c>
      <c r="P10" s="214">
        <f>B57*N65</f>
        <v>1018.8624</v>
      </c>
      <c r="Q10" s="120">
        <f>$B$59*B65</f>
        <v>947.2243145150607</v>
      </c>
      <c r="R10" s="117">
        <f>$B$58*E65</f>
        <v>956.7251414363097</v>
      </c>
      <c r="S10" s="118">
        <f>P10-R10</f>
        <v>62.13725856369024</v>
      </c>
      <c r="T10" s="214">
        <f>B60*O65</f>
        <v>950.48</v>
      </c>
      <c r="U10" s="120">
        <v>319</v>
      </c>
      <c r="V10" s="117">
        <f>$B$61*E65</f>
        <v>860.2486565855894</v>
      </c>
      <c r="W10" s="118">
        <f>T10-V10</f>
        <v>90.23134341441062</v>
      </c>
      <c r="X10" s="214">
        <f>B72*P65</f>
        <v>902.3607999999999</v>
      </c>
      <c r="Y10" s="117">
        <f>$B$62*E65</f>
        <v>876.3280707273761</v>
      </c>
      <c r="Z10" s="118">
        <f>X10-Y10</f>
        <v>26.032729272623783</v>
      </c>
      <c r="AA10" s="116"/>
      <c r="AB10" s="120">
        <v>319</v>
      </c>
      <c r="AC10" s="117">
        <f>$B$53*R65</f>
        <v>0</v>
      </c>
      <c r="AD10" s="118">
        <f>AA10-AC10</f>
        <v>0</v>
      </c>
      <c r="AE10" s="116"/>
      <c r="AF10" s="120">
        <v>319</v>
      </c>
      <c r="AG10" s="117">
        <f>$B$53*V65</f>
        <v>0</v>
      </c>
      <c r="AH10" s="118">
        <f>AE10-AG10</f>
        <v>0</v>
      </c>
      <c r="AI10" s="116"/>
      <c r="AJ10" s="120">
        <v>319</v>
      </c>
      <c r="AK10" s="117">
        <f>$B$53*Y65</f>
        <v>0</v>
      </c>
      <c r="AL10" s="118">
        <f>AI10-AK10</f>
        <v>0</v>
      </c>
      <c r="AM10" s="116"/>
      <c r="AN10" s="120">
        <v>319</v>
      </c>
      <c r="AO10" s="117">
        <f>$B$53*AC65</f>
        <v>0</v>
      </c>
      <c r="AP10" s="118">
        <f>AM10-AO10</f>
        <v>0</v>
      </c>
      <c r="AQ10" s="116"/>
      <c r="AR10" s="120">
        <v>319</v>
      </c>
      <c r="AS10" s="117">
        <f>$B$53*AG65</f>
        <v>0</v>
      </c>
      <c r="AT10" s="118">
        <f>AQ10-AS10</f>
        <v>0</v>
      </c>
      <c r="AU10" s="116"/>
      <c r="AV10" s="120">
        <v>319</v>
      </c>
      <c r="AW10" s="117">
        <f>$B$53*AK65</f>
        <v>0</v>
      </c>
      <c r="AX10" s="118">
        <f>AU10-AW10</f>
        <v>0</v>
      </c>
      <c r="AY10" s="235"/>
      <c r="AZ10" s="228">
        <f>B84*E65</f>
        <v>971.6956304648697</v>
      </c>
      <c r="BA10" s="228"/>
      <c r="BB10" s="116">
        <f t="shared" si="0"/>
        <v>709.4037740764375</v>
      </c>
      <c r="BC10" s="117">
        <f t="shared" si="1"/>
        <v>860.063835733385</v>
      </c>
      <c r="BD10" s="122">
        <f>BB10</f>
        <v>709.4037740764375</v>
      </c>
      <c r="BE10" s="122">
        <f t="shared" si="2"/>
        <v>0</v>
      </c>
      <c r="BF10" s="144"/>
      <c r="BG10" s="123"/>
      <c r="BH10" s="123"/>
      <c r="BI10" s="123"/>
      <c r="BJ10" s="123"/>
      <c r="BK10" s="116">
        <f t="shared" si="14"/>
        <v>957.2343999999999</v>
      </c>
      <c r="BL10" s="117">
        <f t="shared" si="3"/>
        <v>897.7672895830918</v>
      </c>
      <c r="BM10" s="122">
        <f>BK10</f>
        <v>957.2343999999999</v>
      </c>
      <c r="BN10" s="122">
        <f t="shared" si="4"/>
        <v>0</v>
      </c>
      <c r="BP10" s="116">
        <f t="shared" si="5"/>
        <v>833.0644577563736</v>
      </c>
      <c r="BQ10" s="117">
        <f t="shared" si="6"/>
        <v>385.77051632006385</v>
      </c>
      <c r="BR10" s="122">
        <f>BP10</f>
        <v>833.0644577563736</v>
      </c>
      <c r="BS10" s="122">
        <f t="shared" si="7"/>
        <v>0</v>
      </c>
      <c r="BU10" s="116">
        <f t="shared" si="10"/>
        <v>833.3190870382186</v>
      </c>
      <c r="BV10" s="117">
        <f t="shared" si="11"/>
        <v>0</v>
      </c>
      <c r="BW10" s="122">
        <f>BU10</f>
        <v>833.3190870382186</v>
      </c>
      <c r="BX10" s="122">
        <f t="shared" si="8"/>
        <v>0</v>
      </c>
      <c r="BZ10" s="116">
        <f>AVERAGE(BB10,BK10)</f>
        <v>833.3190870382186</v>
      </c>
      <c r="CA10" s="117">
        <f t="shared" si="13"/>
        <v>878.9155626582384</v>
      </c>
      <c r="CB10" s="122">
        <f>BZ10</f>
        <v>833.3190870382186</v>
      </c>
      <c r="CC10" s="122">
        <f t="shared" si="9"/>
        <v>0</v>
      </c>
    </row>
    <row r="11" spans="1:81" ht="23.25">
      <c r="A11" s="259"/>
      <c r="B11" s="124" t="s">
        <v>86</v>
      </c>
      <c r="C11" s="124"/>
      <c r="D11" s="126">
        <f>26+4+15</f>
        <v>45</v>
      </c>
      <c r="E11" s="127">
        <f>26+4+16</f>
        <v>46</v>
      </c>
      <c r="F11" s="128">
        <f>E11-D11</f>
        <v>1</v>
      </c>
      <c r="G11" s="129">
        <f>25+5+15</f>
        <v>45</v>
      </c>
      <c r="H11" s="130"/>
      <c r="I11" s="127">
        <f>26+4+16</f>
        <v>46</v>
      </c>
      <c r="J11" s="128">
        <f>I11-G11</f>
        <v>1</v>
      </c>
      <c r="K11" s="131"/>
      <c r="L11" s="126">
        <f>24+4+15</f>
        <v>43</v>
      </c>
      <c r="M11" s="130">
        <v>46</v>
      </c>
      <c r="N11" s="127">
        <f>26+4+16</f>
        <v>46</v>
      </c>
      <c r="O11" s="128">
        <f>N11-L11</f>
        <v>3</v>
      </c>
      <c r="P11" s="126">
        <f>28+4+15</f>
        <v>47</v>
      </c>
      <c r="Q11" s="130">
        <v>47</v>
      </c>
      <c r="R11" s="127">
        <f>27+4+16</f>
        <v>47</v>
      </c>
      <c r="S11" s="128">
        <f>R11-P11</f>
        <v>0</v>
      </c>
      <c r="T11" s="126">
        <f>28+4+15</f>
        <v>47</v>
      </c>
      <c r="U11" s="130">
        <v>46</v>
      </c>
      <c r="V11" s="127">
        <f>27+4+16</f>
        <v>47</v>
      </c>
      <c r="W11" s="128">
        <f>V11-T11</f>
        <v>0</v>
      </c>
      <c r="X11" s="126">
        <f>26+4+15</f>
        <v>45</v>
      </c>
      <c r="Y11" s="127">
        <f>27+4+16</f>
        <v>47</v>
      </c>
      <c r="Z11" s="128">
        <f>Y11-X11</f>
        <v>2</v>
      </c>
      <c r="AA11" s="126"/>
      <c r="AB11" s="130">
        <v>46</v>
      </c>
      <c r="AC11" s="127">
        <f>26+4+16</f>
        <v>46</v>
      </c>
      <c r="AD11" s="128">
        <f>AC11-AA11</f>
        <v>46</v>
      </c>
      <c r="AE11" s="126"/>
      <c r="AF11" s="130">
        <v>46</v>
      </c>
      <c r="AG11" s="127">
        <f>26+4+16</f>
        <v>46</v>
      </c>
      <c r="AH11" s="128">
        <f>AG11-AE11</f>
        <v>46</v>
      </c>
      <c r="AI11" s="126"/>
      <c r="AJ11" s="130">
        <v>46</v>
      </c>
      <c r="AK11" s="127">
        <f>26+4+16</f>
        <v>46</v>
      </c>
      <c r="AL11" s="128">
        <f>AK11-AI11</f>
        <v>46</v>
      </c>
      <c r="AM11" s="126"/>
      <c r="AN11" s="130">
        <v>46</v>
      </c>
      <c r="AO11" s="127">
        <f>26+4+16</f>
        <v>46</v>
      </c>
      <c r="AP11" s="128">
        <f>AO11-AM11</f>
        <v>46</v>
      </c>
      <c r="AQ11" s="126"/>
      <c r="AR11" s="130">
        <v>46</v>
      </c>
      <c r="AS11" s="127">
        <f>26+4+16</f>
        <v>46</v>
      </c>
      <c r="AT11" s="128">
        <f>AS11-AQ11</f>
        <v>46</v>
      </c>
      <c r="AU11" s="126"/>
      <c r="AV11" s="130">
        <v>46</v>
      </c>
      <c r="AW11" s="127">
        <f>26+4+16</f>
        <v>46</v>
      </c>
      <c r="AX11" s="128">
        <f>AW11-AU11</f>
        <v>46</v>
      </c>
      <c r="AY11" s="236"/>
      <c r="AZ11" s="229">
        <f>27+4+16</f>
        <v>47</v>
      </c>
      <c r="BA11" s="229"/>
      <c r="BB11" s="126">
        <f t="shared" si="0"/>
        <v>45.333333333333336</v>
      </c>
      <c r="BC11" s="127">
        <f t="shared" si="1"/>
        <v>46</v>
      </c>
      <c r="BD11" s="132">
        <f>+BD10/BD12</f>
        <v>37.942036685788565</v>
      </c>
      <c r="BE11" s="132">
        <f t="shared" si="2"/>
        <v>-7.39129664754477</v>
      </c>
      <c r="BF11" s="144"/>
      <c r="BG11" s="133"/>
      <c r="BH11" s="133"/>
      <c r="BI11" s="133"/>
      <c r="BJ11" s="133"/>
      <c r="BK11" s="126">
        <f t="shared" si="14"/>
        <v>46.333333333333336</v>
      </c>
      <c r="BL11" s="127">
        <f t="shared" si="3"/>
        <v>47</v>
      </c>
      <c r="BM11" s="132">
        <f>+BM10/BM12</f>
        <v>50.11322791777434</v>
      </c>
      <c r="BN11" s="132">
        <f t="shared" si="4"/>
        <v>3.779894584441003</v>
      </c>
      <c r="BP11" s="126">
        <f t="shared" si="5"/>
        <v>46.16666666666667</v>
      </c>
      <c r="BQ11" s="127">
        <f t="shared" si="6"/>
        <v>18.971018342894283</v>
      </c>
      <c r="BR11" s="132">
        <f>+BR10/BR12</f>
        <v>83.2269256175334</v>
      </c>
      <c r="BS11" s="132">
        <f t="shared" si="7"/>
        <v>37.060258950866725</v>
      </c>
      <c r="BU11" s="126">
        <f t="shared" si="10"/>
        <v>44.02763230178145</v>
      </c>
      <c r="BV11" s="127">
        <f t="shared" si="11"/>
        <v>-1.8057010315518838</v>
      </c>
      <c r="BW11" s="132">
        <f>+BW10/BW12</f>
        <v>1162.0757914842868</v>
      </c>
      <c r="BX11" s="132">
        <f t="shared" si="8"/>
        <v>1118.0481591825053</v>
      </c>
      <c r="BZ11" s="126">
        <f t="shared" si="12"/>
        <v>45.833333333333336</v>
      </c>
      <c r="CA11" s="127">
        <f t="shared" si="13"/>
        <v>46.5</v>
      </c>
      <c r="CB11" s="132">
        <f>+CB10/CB12</f>
        <v>44.092739825336764</v>
      </c>
      <c r="CC11" s="132">
        <f t="shared" si="9"/>
        <v>-1.7405935079965715</v>
      </c>
    </row>
    <row r="12" spans="1:81" ht="24" thickBot="1">
      <c r="A12" s="260"/>
      <c r="B12" s="134" t="s">
        <v>87</v>
      </c>
      <c r="C12" s="134"/>
      <c r="D12" s="136">
        <f>D10/D11</f>
        <v>20.55823946020777</v>
      </c>
      <c r="E12" s="137">
        <f>E10/E11</f>
        <v>19.42426978222586</v>
      </c>
      <c r="F12" s="138">
        <f>D12-E12</f>
        <v>1.1339696779819093</v>
      </c>
      <c r="G12" s="139">
        <f>G10/G11</f>
        <v>19.646456589332505</v>
      </c>
      <c r="H12" s="140"/>
      <c r="I12" s="137">
        <f>I10/I11</f>
        <v>18.279184067480927</v>
      </c>
      <c r="J12" s="138">
        <f>G12-I12</f>
        <v>1.3672725218515787</v>
      </c>
      <c r="K12" s="141"/>
      <c r="L12" s="136">
        <f>L10/L11</f>
        <v>22.308144186046512</v>
      </c>
      <c r="M12" s="142">
        <f>M10/M11</f>
        <v>6.934782608695652</v>
      </c>
      <c r="N12" s="137">
        <f>N10/N11</f>
        <v>18.38766587203571</v>
      </c>
      <c r="O12" s="138">
        <f>L12-N12</f>
        <v>3.9204783140108006</v>
      </c>
      <c r="P12" s="136">
        <f>P10/P11</f>
        <v>21.677923404255317</v>
      </c>
      <c r="Q12" s="142">
        <f>Q10/Q11</f>
        <v>20.153708819469376</v>
      </c>
      <c r="R12" s="137">
        <f>R10/R11</f>
        <v>20.355854073112972</v>
      </c>
      <c r="S12" s="138">
        <f>P12-R12</f>
        <v>1.3220693311423446</v>
      </c>
      <c r="T12" s="136">
        <f>T10/T11</f>
        <v>20.222978723404257</v>
      </c>
      <c r="U12" s="142">
        <f>U10/U11</f>
        <v>6.934782608695652</v>
      </c>
      <c r="V12" s="137">
        <f>V10/V11</f>
        <v>18.30316290607637</v>
      </c>
      <c r="W12" s="138">
        <f>T12-V12</f>
        <v>1.919815817327887</v>
      </c>
      <c r="X12" s="136">
        <f>X10/X11</f>
        <v>20.05246222222222</v>
      </c>
      <c r="Y12" s="137">
        <f>Y10/Y11</f>
        <v>18.64527810058247</v>
      </c>
      <c r="Z12" s="138">
        <f>X12-Y12</f>
        <v>1.4071841216397516</v>
      </c>
      <c r="AA12" s="136"/>
      <c r="AB12" s="142">
        <f>AB10/AB11</f>
        <v>6.934782608695652</v>
      </c>
      <c r="AC12" s="137">
        <f>AC10/AC11</f>
        <v>0</v>
      </c>
      <c r="AD12" s="138">
        <f>AA12-AC12</f>
        <v>0</v>
      </c>
      <c r="AE12" s="136"/>
      <c r="AF12" s="142">
        <f>AF10/AF11</f>
        <v>6.934782608695652</v>
      </c>
      <c r="AG12" s="137">
        <f>AG10/AG11</f>
        <v>0</v>
      </c>
      <c r="AH12" s="138">
        <f>AE12-AG12</f>
        <v>0</v>
      </c>
      <c r="AI12" s="136"/>
      <c r="AJ12" s="142">
        <f>AJ10/AJ11</f>
        <v>6.934782608695652</v>
      </c>
      <c r="AK12" s="137">
        <f>AK10/AK11</f>
        <v>0</v>
      </c>
      <c r="AL12" s="138">
        <f>AI12-AK12</f>
        <v>0</v>
      </c>
      <c r="AM12" s="136"/>
      <c r="AN12" s="142">
        <f>AN10/AN11</f>
        <v>6.934782608695652</v>
      </c>
      <c r="AO12" s="137">
        <f>AO10/AO11</f>
        <v>0</v>
      </c>
      <c r="AP12" s="138">
        <f>AM12-AO12</f>
        <v>0</v>
      </c>
      <c r="AQ12" s="136"/>
      <c r="AR12" s="142">
        <f>AR10/AR11</f>
        <v>6.934782608695652</v>
      </c>
      <c r="AS12" s="137">
        <f>AS10/AS11</f>
        <v>0</v>
      </c>
      <c r="AT12" s="138">
        <f>AQ12-AS12</f>
        <v>0</v>
      </c>
      <c r="AU12" s="136"/>
      <c r="AV12" s="142">
        <f>AV10/AV11</f>
        <v>6.934782608695652</v>
      </c>
      <c r="AW12" s="137">
        <f>AW10/AW11</f>
        <v>0</v>
      </c>
      <c r="AX12" s="138">
        <f>AU12-AW12</f>
        <v>0</v>
      </c>
      <c r="AY12" s="237"/>
      <c r="AZ12" s="230">
        <f>AZ10/AZ11</f>
        <v>20.674375116273826</v>
      </c>
      <c r="BA12" s="230"/>
      <c r="BB12" s="136">
        <f t="shared" si="0"/>
        <v>15.71315955274531</v>
      </c>
      <c r="BC12" s="137">
        <f t="shared" si="1"/>
        <v>18.6970399072475</v>
      </c>
      <c r="BD12" s="143">
        <f>BC12</f>
        <v>18.6970399072475</v>
      </c>
      <c r="BE12" s="143">
        <f t="shared" si="2"/>
        <v>2.9838803545021904</v>
      </c>
      <c r="BF12" s="144"/>
      <c r="BG12" s="123"/>
      <c r="BH12" s="123"/>
      <c r="BI12" s="123"/>
      <c r="BJ12" s="123"/>
      <c r="BK12" s="136">
        <f t="shared" si="14"/>
        <v>20.6511214499606</v>
      </c>
      <c r="BL12" s="137">
        <f t="shared" si="3"/>
        <v>19.101431693257272</v>
      </c>
      <c r="BM12" s="143">
        <f>BL12</f>
        <v>19.101431693257272</v>
      </c>
      <c r="BN12" s="143">
        <f t="shared" si="4"/>
        <v>-1.5496897567033265</v>
      </c>
      <c r="BP12" s="136">
        <f t="shared" si="5"/>
        <v>18.03450681292914</v>
      </c>
      <c r="BQ12" s="137">
        <f t="shared" si="6"/>
        <v>10.009554619194923</v>
      </c>
      <c r="BR12" s="143">
        <f>BQ12</f>
        <v>10.009554619194923</v>
      </c>
      <c r="BS12" s="143">
        <f t="shared" si="7"/>
        <v>-8.024952193734219</v>
      </c>
      <c r="BU12" s="136">
        <f t="shared" si="10"/>
        <v>18.899235800252384</v>
      </c>
      <c r="BV12" s="137">
        <f t="shared" si="11"/>
        <v>0.7170952988994319</v>
      </c>
      <c r="BW12" s="143">
        <f>BV12</f>
        <v>0.7170952988994319</v>
      </c>
      <c r="BX12" s="143">
        <f t="shared" si="8"/>
        <v>-18.182140501352954</v>
      </c>
      <c r="BZ12" s="136">
        <f t="shared" si="12"/>
        <v>18.182140501352954</v>
      </c>
      <c r="CA12" s="137">
        <f t="shared" si="13"/>
        <v>18.899235800252384</v>
      </c>
      <c r="CB12" s="143">
        <f>CA12</f>
        <v>18.899235800252384</v>
      </c>
      <c r="CC12" s="143">
        <f t="shared" si="9"/>
        <v>0.7170952988994301</v>
      </c>
    </row>
    <row r="13" spans="1:81" ht="23.25">
      <c r="A13" s="259" t="s">
        <v>90</v>
      </c>
      <c r="B13" s="114" t="s">
        <v>85</v>
      </c>
      <c r="C13" s="114"/>
      <c r="D13" s="116">
        <f>$B$42*E66</f>
        <v>508.33884036924474</v>
      </c>
      <c r="E13" s="117">
        <f>$B$49*E66</f>
        <v>490.97275472282763</v>
      </c>
      <c r="F13" s="118">
        <f>D13-E13</f>
        <v>17.366085646417105</v>
      </c>
      <c r="G13" s="119">
        <f>$B$50*$E$66</f>
        <v>485.793395845826</v>
      </c>
      <c r="H13" s="120">
        <f>B47*0.271</f>
        <v>821.9430000000001</v>
      </c>
      <c r="I13" s="117">
        <f>$B$46*E66</f>
        <v>462.0292786454658</v>
      </c>
      <c r="J13" s="118">
        <f>G13-I13</f>
        <v>23.764117200360204</v>
      </c>
      <c r="K13" s="121"/>
      <c r="L13" s="116">
        <f>B54*L66</f>
        <v>545.2262999999999</v>
      </c>
      <c r="M13" s="120">
        <v>840</v>
      </c>
      <c r="N13" s="117">
        <f>$B$53*E66</f>
        <v>464.7712921685843</v>
      </c>
      <c r="O13" s="118">
        <f>L13-N13</f>
        <v>80.45500783141563</v>
      </c>
      <c r="P13" s="116">
        <f>B57*N66</f>
        <v>534.5952</v>
      </c>
      <c r="Q13" s="120">
        <f>$B$59*B66</f>
        <v>515.6312201090382</v>
      </c>
      <c r="R13" s="117">
        <f>$B$58*E66</f>
        <v>525.7049260156618</v>
      </c>
      <c r="S13" s="118">
        <f>P13-R13</f>
        <v>8.890273984338137</v>
      </c>
      <c r="T13" s="116">
        <f>B60*O66</f>
        <v>529.1296</v>
      </c>
      <c r="U13" s="120">
        <v>840</v>
      </c>
      <c r="V13" s="117">
        <f>$B$61*E66</f>
        <v>472.69266456870434</v>
      </c>
      <c r="W13" s="118">
        <f>T13-V13</f>
        <v>56.43693543129564</v>
      </c>
      <c r="X13" s="116">
        <f>B72*P66</f>
        <v>475.72300000000007</v>
      </c>
      <c r="Y13" s="117">
        <f>$B$62*E66</f>
        <v>481.52804147653063</v>
      </c>
      <c r="Z13" s="118">
        <f>X13-Y13</f>
        <v>-5.805041476530562</v>
      </c>
      <c r="AA13" s="116"/>
      <c r="AB13" s="120">
        <v>840</v>
      </c>
      <c r="AC13" s="117">
        <f>$B$53*R66</f>
        <v>0</v>
      </c>
      <c r="AD13" s="118">
        <f>AA13-AC13</f>
        <v>0</v>
      </c>
      <c r="AE13" s="116"/>
      <c r="AF13" s="120">
        <v>840</v>
      </c>
      <c r="AG13" s="117">
        <f>$B$53*V66</f>
        <v>0</v>
      </c>
      <c r="AH13" s="118">
        <f>AE13-AG13</f>
        <v>0</v>
      </c>
      <c r="AI13" s="116"/>
      <c r="AJ13" s="120">
        <v>840</v>
      </c>
      <c r="AK13" s="117">
        <f>$B$53*Y66</f>
        <v>0</v>
      </c>
      <c r="AL13" s="118">
        <f>AI13-AK13</f>
        <v>0</v>
      </c>
      <c r="AM13" s="116"/>
      <c r="AN13" s="120">
        <v>840</v>
      </c>
      <c r="AO13" s="117">
        <f>$B$53*AC66</f>
        <v>0</v>
      </c>
      <c r="AP13" s="118">
        <f>AM13-AO13</f>
        <v>0</v>
      </c>
      <c r="AQ13" s="116"/>
      <c r="AR13" s="120">
        <v>840</v>
      </c>
      <c r="AS13" s="117">
        <f>$B$53*AG66</f>
        <v>0</v>
      </c>
      <c r="AT13" s="118">
        <f>AQ13-AS13</f>
        <v>0</v>
      </c>
      <c r="AU13" s="116"/>
      <c r="AV13" s="120">
        <v>840</v>
      </c>
      <c r="AW13" s="117">
        <f>$B$53*AK66</f>
        <v>0</v>
      </c>
      <c r="AX13" s="118">
        <f>AU13-AW13</f>
        <v>0</v>
      </c>
      <c r="AY13" s="235"/>
      <c r="AZ13" s="228">
        <f>B84*E66</f>
        <v>533.9309665850174</v>
      </c>
      <c r="BA13" s="228"/>
      <c r="BB13" s="116">
        <f t="shared" si="0"/>
        <v>611.3774120716903</v>
      </c>
      <c r="BC13" s="117">
        <f t="shared" si="1"/>
        <v>472.5911085122926</v>
      </c>
      <c r="BD13" s="122">
        <f>BB13</f>
        <v>611.3774120716903</v>
      </c>
      <c r="BE13" s="122">
        <f t="shared" si="2"/>
        <v>0</v>
      </c>
      <c r="BF13" s="144"/>
      <c r="BG13" s="123"/>
      <c r="BH13" s="123"/>
      <c r="BI13" s="123"/>
      <c r="BJ13" s="123"/>
      <c r="BK13" s="116">
        <f t="shared" si="14"/>
        <v>513.1492666666667</v>
      </c>
      <c r="BL13" s="117">
        <f t="shared" si="3"/>
        <v>493.30854402029894</v>
      </c>
      <c r="BM13" s="122">
        <f>BK13</f>
        <v>513.1492666666667</v>
      </c>
      <c r="BN13" s="122">
        <f t="shared" si="4"/>
        <v>0</v>
      </c>
      <c r="BP13" s="116">
        <f t="shared" si="5"/>
        <v>568.5411690436761</v>
      </c>
      <c r="BQ13" s="117">
        <f t="shared" si="6"/>
        <v>310.1338430280142</v>
      </c>
      <c r="BR13" s="122">
        <f>BP13</f>
        <v>568.5411690436761</v>
      </c>
      <c r="BS13" s="122">
        <f t="shared" si="7"/>
        <v>0</v>
      </c>
      <c r="BU13" s="116">
        <f t="shared" si="10"/>
        <v>562.2633393691785</v>
      </c>
      <c r="BV13" s="117">
        <f t="shared" si="11"/>
        <v>0</v>
      </c>
      <c r="BW13" s="122">
        <f>BU13</f>
        <v>562.2633393691785</v>
      </c>
      <c r="BX13" s="122">
        <f t="shared" si="8"/>
        <v>0</v>
      </c>
      <c r="BZ13" s="116">
        <f>AVERAGE(BB13,BK13)</f>
        <v>562.2633393691785</v>
      </c>
      <c r="CA13" s="117">
        <f t="shared" si="13"/>
        <v>482.94982626629576</v>
      </c>
      <c r="CB13" s="122">
        <f>BZ13</f>
        <v>562.2633393691785</v>
      </c>
      <c r="CC13" s="122">
        <f t="shared" si="9"/>
        <v>0</v>
      </c>
    </row>
    <row r="14" spans="1:81" ht="23.25">
      <c r="A14" s="259"/>
      <c r="B14" s="124" t="s">
        <v>86</v>
      </c>
      <c r="C14" s="124"/>
      <c r="D14" s="126">
        <f>3+47+2+11</f>
        <v>63</v>
      </c>
      <c r="E14" s="127">
        <f>3+47+3+4+11</f>
        <v>68</v>
      </c>
      <c r="F14" s="128">
        <f>E14-D14</f>
        <v>5</v>
      </c>
      <c r="G14" s="129">
        <f>3+58+2+9</f>
        <v>72</v>
      </c>
      <c r="H14" s="130"/>
      <c r="I14" s="127">
        <f>3+48+5+4+11</f>
        <v>71</v>
      </c>
      <c r="J14" s="128">
        <f>I14-G14</f>
        <v>-1</v>
      </c>
      <c r="K14" s="131"/>
      <c r="L14" s="126">
        <f>3+58+2+9</f>
        <v>72</v>
      </c>
      <c r="M14" s="130">
        <v>72</v>
      </c>
      <c r="N14" s="127">
        <f>3+48+6+4+11</f>
        <v>72</v>
      </c>
      <c r="O14" s="128">
        <f>N14-L14</f>
        <v>0</v>
      </c>
      <c r="P14" s="126">
        <f>3+54+2+11</f>
        <v>70</v>
      </c>
      <c r="Q14" s="130">
        <v>72</v>
      </c>
      <c r="R14" s="127">
        <f>3+48+6+4+11</f>
        <v>72</v>
      </c>
      <c r="S14" s="128">
        <f>R14-P14</f>
        <v>2</v>
      </c>
      <c r="T14" s="126">
        <f>2+58+2+11</f>
        <v>73</v>
      </c>
      <c r="U14" s="130">
        <v>72</v>
      </c>
      <c r="V14" s="127">
        <f>3+48+6+4+11</f>
        <v>72</v>
      </c>
      <c r="W14" s="128">
        <f>V14-T14</f>
        <v>-1</v>
      </c>
      <c r="X14" s="126">
        <f>2+59+2+11</f>
        <v>74</v>
      </c>
      <c r="Y14" s="127">
        <f>3+48+6+4+11</f>
        <v>72</v>
      </c>
      <c r="Z14" s="128">
        <f>Y14-X14</f>
        <v>-2</v>
      </c>
      <c r="AA14" s="126"/>
      <c r="AB14" s="130">
        <v>72</v>
      </c>
      <c r="AC14" s="127">
        <f>3+48+6+4+11</f>
        <v>72</v>
      </c>
      <c r="AD14" s="128">
        <f>AC14-AA14</f>
        <v>72</v>
      </c>
      <c r="AE14" s="126"/>
      <c r="AF14" s="130">
        <v>72</v>
      </c>
      <c r="AG14" s="127">
        <f>3+48+6+4+11</f>
        <v>72</v>
      </c>
      <c r="AH14" s="128">
        <f>AG14-AE14</f>
        <v>72</v>
      </c>
      <c r="AI14" s="126"/>
      <c r="AJ14" s="130">
        <v>72</v>
      </c>
      <c r="AK14" s="127">
        <f>3+48+6+4+11</f>
        <v>72</v>
      </c>
      <c r="AL14" s="128">
        <f>AK14-AI14</f>
        <v>72</v>
      </c>
      <c r="AM14" s="126"/>
      <c r="AN14" s="130">
        <v>72</v>
      </c>
      <c r="AO14" s="127">
        <f>3+48+6+4+11</f>
        <v>72</v>
      </c>
      <c r="AP14" s="128">
        <f>AO14-AM14</f>
        <v>72</v>
      </c>
      <c r="AQ14" s="126"/>
      <c r="AR14" s="130">
        <v>72</v>
      </c>
      <c r="AS14" s="127">
        <f>3+48+6+4+11</f>
        <v>72</v>
      </c>
      <c r="AT14" s="128">
        <f>AS14-AQ14</f>
        <v>72</v>
      </c>
      <c r="AU14" s="126"/>
      <c r="AV14" s="130">
        <v>72</v>
      </c>
      <c r="AW14" s="127">
        <f>3+48+6+4+11</f>
        <v>72</v>
      </c>
      <c r="AX14" s="128">
        <f>AW14-AU14</f>
        <v>72</v>
      </c>
      <c r="AY14" s="236"/>
      <c r="AZ14" s="229">
        <f>2+48+6+4+11</f>
        <v>71</v>
      </c>
      <c r="BA14" s="229"/>
      <c r="BB14" s="126">
        <f t="shared" si="0"/>
        <v>69</v>
      </c>
      <c r="BC14" s="127">
        <f t="shared" si="1"/>
        <v>70.33333333333333</v>
      </c>
      <c r="BD14" s="132">
        <f>+BD13/BD15</f>
        <v>76.54141698760603</v>
      </c>
      <c r="BE14" s="132">
        <f t="shared" si="2"/>
        <v>7.541416987606027</v>
      </c>
      <c r="BF14" s="144"/>
      <c r="BG14" s="133"/>
      <c r="BH14" s="133"/>
      <c r="BI14" s="133"/>
      <c r="BJ14" s="133"/>
      <c r="BK14" s="126">
        <f t="shared" si="14"/>
        <v>72.33333333333333</v>
      </c>
      <c r="BL14" s="127">
        <f t="shared" si="3"/>
        <v>72</v>
      </c>
      <c r="BM14" s="132">
        <f>+BM13/BM15</f>
        <v>74.89581854572478</v>
      </c>
      <c r="BN14" s="132">
        <f t="shared" si="4"/>
        <v>2.5624852123914508</v>
      </c>
      <c r="BP14" s="126">
        <f t="shared" si="5"/>
        <v>70.5</v>
      </c>
      <c r="BQ14" s="127">
        <f t="shared" si="6"/>
        <v>39.27070849380301</v>
      </c>
      <c r="BR14" s="132">
        <f>+BR13/BR15</f>
        <v>136.61675846387234</v>
      </c>
      <c r="BS14" s="132">
        <f t="shared" si="7"/>
        <v>66.11675846387234</v>
      </c>
      <c r="BU14" s="126">
        <f t="shared" si="10"/>
        <v>75.7186177666654</v>
      </c>
      <c r="BV14" s="127">
        <f t="shared" si="11"/>
        <v>5.051951099998739</v>
      </c>
      <c r="BW14" s="132">
        <f>+BW13/BW15</f>
        <v>-1028.6409916932898</v>
      </c>
      <c r="BX14" s="132">
        <f t="shared" si="8"/>
        <v>-1104.3596094599552</v>
      </c>
      <c r="BZ14" s="126">
        <f t="shared" si="12"/>
        <v>70.66666666666666</v>
      </c>
      <c r="CA14" s="127">
        <f t="shared" si="13"/>
        <v>71.16666666666666</v>
      </c>
      <c r="CB14" s="132">
        <f>+CB13/CB15</f>
        <v>75.78160863213151</v>
      </c>
      <c r="CC14" s="132">
        <f t="shared" si="9"/>
        <v>5.114941965464851</v>
      </c>
    </row>
    <row r="15" spans="1:81" ht="24" thickBot="1">
      <c r="A15" s="259"/>
      <c r="B15" s="134" t="s">
        <v>87</v>
      </c>
      <c r="C15" s="134"/>
      <c r="D15" s="136">
        <f>D13/D14</f>
        <v>8.068870482051503</v>
      </c>
      <c r="E15" s="137">
        <v>11</v>
      </c>
      <c r="F15" s="138">
        <f>D15-E15</f>
        <v>-2.931129517948497</v>
      </c>
      <c r="G15" s="139">
        <f>G13/G14</f>
        <v>6.747130497858695</v>
      </c>
      <c r="H15" s="140"/>
      <c r="I15" s="137">
        <f>I13/I14</f>
        <v>6.507454628809378</v>
      </c>
      <c r="J15" s="138">
        <f>G15-I15</f>
        <v>0.23967586904931704</v>
      </c>
      <c r="K15" s="141"/>
      <c r="L15" s="136">
        <f>L13/L14</f>
        <v>7.572587499999999</v>
      </c>
      <c r="M15" s="142">
        <f>M13/M14</f>
        <v>11.666666666666666</v>
      </c>
      <c r="N15" s="137">
        <f>N13/N14</f>
        <v>6.4551568356747815</v>
      </c>
      <c r="O15" s="138">
        <f>L15-N15</f>
        <v>1.1174306643252176</v>
      </c>
      <c r="P15" s="136">
        <f>P13/P14</f>
        <v>7.637074285714285</v>
      </c>
      <c r="Q15" s="142">
        <f>Q13/Q14</f>
        <v>7.161544723736641</v>
      </c>
      <c r="R15" s="137">
        <f>R13/R14</f>
        <v>7.301457305773081</v>
      </c>
      <c r="S15" s="138">
        <f>P15-R15</f>
        <v>0.33561697994120454</v>
      </c>
      <c r="T15" s="136">
        <f>T13/T14</f>
        <v>7.2483506849315065</v>
      </c>
      <c r="U15" s="142">
        <f>U13/U14</f>
        <v>11.666666666666666</v>
      </c>
      <c r="V15" s="137">
        <f>V13/V14</f>
        <v>6.565175896787561</v>
      </c>
      <c r="W15" s="138">
        <f>T15-V15</f>
        <v>0.6831747881439458</v>
      </c>
      <c r="X15" s="136">
        <f>X13/X14</f>
        <v>6.42868918918919</v>
      </c>
      <c r="Y15" s="137">
        <f>Y13/Y14</f>
        <v>6.687889464951814</v>
      </c>
      <c r="Z15" s="138">
        <f>X15-Y15</f>
        <v>-0.25920027576262417</v>
      </c>
      <c r="AA15" s="136"/>
      <c r="AB15" s="142">
        <f>AB13/AB14</f>
        <v>11.666666666666666</v>
      </c>
      <c r="AC15" s="137">
        <f>AC13/AC14</f>
        <v>0</v>
      </c>
      <c r="AD15" s="138">
        <f>AA15-AC15</f>
        <v>0</v>
      </c>
      <c r="AE15" s="136"/>
      <c r="AF15" s="142">
        <f>AF13/AF14</f>
        <v>11.666666666666666</v>
      </c>
      <c r="AG15" s="137">
        <f>AG13/AG14</f>
        <v>0</v>
      </c>
      <c r="AH15" s="138">
        <f>AE15-AG15</f>
        <v>0</v>
      </c>
      <c r="AI15" s="136"/>
      <c r="AJ15" s="142">
        <f>AJ13/AJ14</f>
        <v>11.666666666666666</v>
      </c>
      <c r="AK15" s="137">
        <f>AK13/AK14</f>
        <v>0</v>
      </c>
      <c r="AL15" s="138">
        <f>AI15-AK15</f>
        <v>0</v>
      </c>
      <c r="AM15" s="136"/>
      <c r="AN15" s="142">
        <f>AN13/AN14</f>
        <v>11.666666666666666</v>
      </c>
      <c r="AO15" s="137">
        <f>AO13/AO14</f>
        <v>0</v>
      </c>
      <c r="AP15" s="138">
        <f>AM15-AO15</f>
        <v>0</v>
      </c>
      <c r="AQ15" s="136"/>
      <c r="AR15" s="142">
        <f>AR13/AR14</f>
        <v>11.666666666666666</v>
      </c>
      <c r="AS15" s="137">
        <f>AS13/AS14</f>
        <v>0</v>
      </c>
      <c r="AT15" s="138">
        <f>AQ15-AS15</f>
        <v>0</v>
      </c>
      <c r="AU15" s="136"/>
      <c r="AV15" s="142">
        <f>AV13/AV14</f>
        <v>11.666666666666666</v>
      </c>
      <c r="AW15" s="137">
        <f>AW13/AW14</f>
        <v>0</v>
      </c>
      <c r="AX15" s="138">
        <f>AU15-AW15</f>
        <v>0</v>
      </c>
      <c r="AY15" s="237"/>
      <c r="AZ15" s="230">
        <f>AZ13/AZ14</f>
        <v>7.520154458943907</v>
      </c>
      <c r="BA15" s="230"/>
      <c r="BB15" s="136">
        <f t="shared" si="0"/>
        <v>8.827555882192287</v>
      </c>
      <c r="BC15" s="137">
        <f t="shared" si="1"/>
        <v>7.987537154828053</v>
      </c>
      <c r="BD15" s="143">
        <f>BC15</f>
        <v>7.987537154828053</v>
      </c>
      <c r="BE15" s="143">
        <f t="shared" si="2"/>
        <v>-0.8400187273642343</v>
      </c>
      <c r="BF15" s="144"/>
      <c r="BG15" s="123"/>
      <c r="BH15" s="123"/>
      <c r="BI15" s="123"/>
      <c r="BJ15" s="123"/>
      <c r="BK15" s="136">
        <f t="shared" si="14"/>
        <v>7.104704719944994</v>
      </c>
      <c r="BL15" s="137">
        <f t="shared" si="3"/>
        <v>6.851507555837486</v>
      </c>
      <c r="BM15" s="143">
        <f>BL15</f>
        <v>6.851507555837486</v>
      </c>
      <c r="BN15" s="143">
        <f t="shared" si="4"/>
        <v>-0.25319716410750814</v>
      </c>
      <c r="BP15" s="136">
        <f t="shared" si="5"/>
        <v>8.064506593982685</v>
      </c>
      <c r="BQ15" s="137">
        <f t="shared" si="6"/>
        <v>4.161577067384629</v>
      </c>
      <c r="BR15" s="143">
        <f>BQ15</f>
        <v>4.161577067384629</v>
      </c>
      <c r="BS15" s="143">
        <f t="shared" si="7"/>
        <v>-3.902929526598056</v>
      </c>
      <c r="BU15" s="136">
        <f t="shared" si="10"/>
        <v>7.41952235533277</v>
      </c>
      <c r="BV15" s="137">
        <f t="shared" si="11"/>
        <v>-0.5466079457358712</v>
      </c>
      <c r="BW15" s="143">
        <f>BV15</f>
        <v>-0.5466079457358712</v>
      </c>
      <c r="BX15" s="143">
        <f t="shared" si="8"/>
        <v>-7.966130301068642</v>
      </c>
      <c r="BZ15" s="136">
        <f t="shared" si="12"/>
        <v>7.966130301068641</v>
      </c>
      <c r="CA15" s="137">
        <f t="shared" si="13"/>
        <v>7.41952235533277</v>
      </c>
      <c r="CB15" s="143">
        <f>CA15</f>
        <v>7.41952235533277</v>
      </c>
      <c r="CC15" s="143">
        <f t="shared" si="9"/>
        <v>-0.5466079457358708</v>
      </c>
    </row>
    <row r="16" spans="1:81" ht="23.25">
      <c r="A16" s="261" t="s">
        <v>91</v>
      </c>
      <c r="B16" s="114" t="s">
        <v>85</v>
      </c>
      <c r="C16" s="114"/>
      <c r="D16" s="116">
        <f>$B$42*E67</f>
        <v>526.039022853776</v>
      </c>
      <c r="E16" s="117">
        <f>$B$49*E67</f>
        <v>508.06825611558884</v>
      </c>
      <c r="F16" s="118">
        <f>D16-E16</f>
        <v>17.970766738187194</v>
      </c>
      <c r="G16" s="119">
        <f>$B$50*$E$67</f>
        <v>502.7085537550769</v>
      </c>
      <c r="H16" s="120">
        <f>B47*0.161</f>
        <v>488.313</v>
      </c>
      <c r="I16" s="117">
        <f>$B$46*E67</f>
        <v>478.1169782186103</v>
      </c>
      <c r="J16" s="118">
        <f>G16-I16</f>
        <v>24.591575536466564</v>
      </c>
      <c r="K16" s="121"/>
      <c r="L16" s="116">
        <f>B54*L67</f>
        <v>540.5405</v>
      </c>
      <c r="M16" s="120">
        <v>499</v>
      </c>
      <c r="N16" s="117">
        <f>$B$53*E67</f>
        <v>480.9544677035872</v>
      </c>
      <c r="O16" s="118">
        <f>L16-N16</f>
        <v>59.586032296412725</v>
      </c>
      <c r="P16" s="116">
        <f>B57*N67</f>
        <v>598.344</v>
      </c>
      <c r="Q16" s="120">
        <f>$B$59*B67</f>
        <v>537.9614587224648</v>
      </c>
      <c r="R16" s="117">
        <f>$B$58*E67</f>
        <v>544.0097895919631</v>
      </c>
      <c r="S16" s="118">
        <f>P16-R16</f>
        <v>54.33421040803694</v>
      </c>
      <c r="T16" s="116">
        <f>B60*O67</f>
        <v>526.3392</v>
      </c>
      <c r="U16" s="120">
        <v>499</v>
      </c>
      <c r="V16" s="117">
        <f>$B$61*E67</f>
        <v>489.1516595490761</v>
      </c>
      <c r="W16" s="118">
        <f>T16-V16</f>
        <v>37.187540450923905</v>
      </c>
      <c r="X16" s="116">
        <f>B72*P67</f>
        <v>510.35159999999996</v>
      </c>
      <c r="Y16" s="117">
        <f>$B$62*E67</f>
        <v>498.2946812228906</v>
      </c>
      <c r="Z16" s="118">
        <f>X16-Y16</f>
        <v>12.056918777109388</v>
      </c>
      <c r="AA16" s="116"/>
      <c r="AB16" s="120">
        <v>499</v>
      </c>
      <c r="AC16" s="117">
        <f>$B$53*R67</f>
        <v>0</v>
      </c>
      <c r="AD16" s="118">
        <f>AA16-AC16</f>
        <v>0</v>
      </c>
      <c r="AE16" s="116"/>
      <c r="AF16" s="120">
        <v>499</v>
      </c>
      <c r="AG16" s="117">
        <f>$B$53*V67</f>
        <v>0</v>
      </c>
      <c r="AH16" s="118">
        <f>AE16-AG16</f>
        <v>0</v>
      </c>
      <c r="AI16" s="116"/>
      <c r="AJ16" s="120">
        <v>499</v>
      </c>
      <c r="AK16" s="117">
        <f>$B$53*Y67</f>
        <v>0</v>
      </c>
      <c r="AL16" s="118">
        <f>AI16-AK16</f>
        <v>0</v>
      </c>
      <c r="AM16" s="116"/>
      <c r="AN16" s="120">
        <v>499</v>
      </c>
      <c r="AO16" s="117">
        <f>$B$53*AC67</f>
        <v>0</v>
      </c>
      <c r="AP16" s="118">
        <f>AM16-AO16</f>
        <v>0</v>
      </c>
      <c r="AQ16" s="116"/>
      <c r="AR16" s="120">
        <v>499</v>
      </c>
      <c r="AS16" s="117">
        <f>$B$53*AG67</f>
        <v>0</v>
      </c>
      <c r="AT16" s="118">
        <f>AQ16-AS16</f>
        <v>0</v>
      </c>
      <c r="AU16" s="116"/>
      <c r="AV16" s="120">
        <v>499</v>
      </c>
      <c r="AW16" s="117">
        <f>$B$53*AK67</f>
        <v>0</v>
      </c>
      <c r="AX16" s="118">
        <f>AU16-AW16</f>
        <v>0</v>
      </c>
      <c r="AY16" s="235"/>
      <c r="AZ16" s="228">
        <f>B84*E67</f>
        <v>552.5222580468939</v>
      </c>
      <c r="BA16" s="228"/>
      <c r="BB16" s="116">
        <f t="shared" si="0"/>
        <v>509.24919220295095</v>
      </c>
      <c r="BC16" s="117">
        <f t="shared" si="1"/>
        <v>489.04656734592874</v>
      </c>
      <c r="BD16" s="122">
        <f>BB16</f>
        <v>509.24919220295095</v>
      </c>
      <c r="BE16" s="122">
        <f t="shared" si="2"/>
        <v>0</v>
      </c>
      <c r="BF16" s="144"/>
      <c r="BG16" s="123"/>
      <c r="BH16" s="123"/>
      <c r="BI16" s="123"/>
      <c r="BJ16" s="123"/>
      <c r="BK16" s="116">
        <f t="shared" si="14"/>
        <v>545.0115999999999</v>
      </c>
      <c r="BL16" s="117">
        <f t="shared" si="3"/>
        <v>510.4853767879766</v>
      </c>
      <c r="BM16" s="122">
        <f>BK16</f>
        <v>545.0115999999999</v>
      </c>
      <c r="BN16" s="122">
        <f t="shared" si="4"/>
        <v>0</v>
      </c>
      <c r="BP16" s="116">
        <f t="shared" si="5"/>
        <v>526.629490897457</v>
      </c>
      <c r="BQ16" s="117">
        <f t="shared" si="6"/>
        <v>281.7917013054939</v>
      </c>
      <c r="BR16" s="122">
        <f>BP16</f>
        <v>526.629490897457</v>
      </c>
      <c r="BS16" s="122">
        <f t="shared" si="7"/>
        <v>0</v>
      </c>
      <c r="BU16" s="116">
        <f t="shared" si="10"/>
        <v>527.1303961014754</v>
      </c>
      <c r="BV16" s="117">
        <f t="shared" si="11"/>
        <v>0</v>
      </c>
      <c r="BW16" s="122">
        <f>BU16</f>
        <v>527.1303961014754</v>
      </c>
      <c r="BX16" s="122">
        <f t="shared" si="8"/>
        <v>0</v>
      </c>
      <c r="BZ16" s="116">
        <f>AVERAGE(BB16,BK16)</f>
        <v>527.1303961014754</v>
      </c>
      <c r="CA16" s="117">
        <f t="shared" si="13"/>
        <v>499.76597206695266</v>
      </c>
      <c r="CB16" s="122">
        <f>BZ16</f>
        <v>527.1303961014754</v>
      </c>
      <c r="CC16" s="122">
        <f t="shared" si="9"/>
        <v>0</v>
      </c>
    </row>
    <row r="17" spans="1:81" ht="23.25">
      <c r="A17" s="262"/>
      <c r="B17" s="124" t="s">
        <v>86</v>
      </c>
      <c r="C17" s="124"/>
      <c r="D17" s="126">
        <f>4+29+8+15+21+11+5</f>
        <v>93</v>
      </c>
      <c r="E17" s="127">
        <f>28+23+1+9+12+11+4</f>
        <v>88</v>
      </c>
      <c r="F17" s="128">
        <f>E17-D17</f>
        <v>-5</v>
      </c>
      <c r="G17" s="129">
        <f>4+29+8+14+21+10+9</f>
        <v>95</v>
      </c>
      <c r="H17" s="130"/>
      <c r="I17" s="127">
        <f>+25+23+1+9+14+10+4+1+2</f>
        <v>89</v>
      </c>
      <c r="J17" s="128">
        <f>I17-G17</f>
        <v>-6</v>
      </c>
      <c r="K17" s="131"/>
      <c r="L17" s="126">
        <f>4+29+11+14+21+7+10</f>
        <v>96</v>
      </c>
      <c r="M17" s="130">
        <v>90</v>
      </c>
      <c r="N17" s="127">
        <f>25+23+2+8+14+10+4+1+3</f>
        <v>90</v>
      </c>
      <c r="O17" s="128">
        <f>N17-L17</f>
        <v>-6</v>
      </c>
      <c r="P17" s="126">
        <f>4+30+11+18+21+8+9</f>
        <v>101</v>
      </c>
      <c r="Q17" s="130">
        <v>89</v>
      </c>
      <c r="R17" s="127">
        <f>23+23+2+8+15+10+4+1+3</f>
        <v>89</v>
      </c>
      <c r="S17" s="128">
        <f>R17-P17</f>
        <v>-12</v>
      </c>
      <c r="T17" s="126">
        <f>4+28+11+16+21+8+7</f>
        <v>95</v>
      </c>
      <c r="U17" s="130">
        <v>90</v>
      </c>
      <c r="V17" s="127">
        <f>22+23+2+7+15+10+4+1+3</f>
        <v>87</v>
      </c>
      <c r="W17" s="128">
        <f>V17-T17</f>
        <v>-8</v>
      </c>
      <c r="X17" s="126">
        <f>4+31+11+16+21+8+9</f>
        <v>100</v>
      </c>
      <c r="Y17" s="127">
        <f>20+23+2+7+15+9+4+1+3</f>
        <v>84</v>
      </c>
      <c r="Z17" s="128">
        <f>Y17-X17</f>
        <v>-16</v>
      </c>
      <c r="AA17" s="126"/>
      <c r="AB17" s="130">
        <v>90</v>
      </c>
      <c r="AC17" s="127">
        <f>25+23+2+8+14+10+4+1+3</f>
        <v>90</v>
      </c>
      <c r="AD17" s="128">
        <f>AC17-AA17</f>
        <v>90</v>
      </c>
      <c r="AE17" s="126"/>
      <c r="AF17" s="130">
        <v>90</v>
      </c>
      <c r="AG17" s="127">
        <f>25+23+2+8+14+10+4+1+3</f>
        <v>90</v>
      </c>
      <c r="AH17" s="128">
        <f>AG17-AE17</f>
        <v>90</v>
      </c>
      <c r="AI17" s="126"/>
      <c r="AJ17" s="130">
        <v>90</v>
      </c>
      <c r="AK17" s="127">
        <f>25+23+2+8+14+10+4+1+3</f>
        <v>90</v>
      </c>
      <c r="AL17" s="128">
        <f>AK17-AI17</f>
        <v>90</v>
      </c>
      <c r="AM17" s="126"/>
      <c r="AN17" s="130">
        <v>90</v>
      </c>
      <c r="AO17" s="127">
        <f>25+23+2+8+14+10+4+1+3</f>
        <v>90</v>
      </c>
      <c r="AP17" s="128">
        <f>AO17-AM17</f>
        <v>90</v>
      </c>
      <c r="AQ17" s="126"/>
      <c r="AR17" s="130">
        <v>90</v>
      </c>
      <c r="AS17" s="127">
        <f>25+23+2+8+14+10+4+1+3</f>
        <v>90</v>
      </c>
      <c r="AT17" s="128">
        <f>AS17-AQ17</f>
        <v>90</v>
      </c>
      <c r="AU17" s="126"/>
      <c r="AV17" s="130">
        <v>90</v>
      </c>
      <c r="AW17" s="127">
        <f>25+23+2+8+14+10+4+1+3</f>
        <v>90</v>
      </c>
      <c r="AX17" s="128">
        <f>AW17-AU17</f>
        <v>90</v>
      </c>
      <c r="AY17" s="236"/>
      <c r="AZ17" s="229">
        <f>18+22+2+7+15+9+4+1+4</f>
        <v>82</v>
      </c>
      <c r="BA17" s="229"/>
      <c r="BB17" s="126">
        <f t="shared" si="0"/>
        <v>92.66666666666667</v>
      </c>
      <c r="BC17" s="127">
        <f t="shared" si="1"/>
        <v>89</v>
      </c>
      <c r="BD17" s="132">
        <f>+BD16/BD18</f>
        <v>92.64948335286714</v>
      </c>
      <c r="BE17" s="132">
        <f t="shared" si="2"/>
        <v>-0.01718331379953497</v>
      </c>
      <c r="BF17" s="144"/>
      <c r="BG17" s="123"/>
      <c r="BH17" s="123"/>
      <c r="BI17" s="123"/>
      <c r="BJ17" s="123"/>
      <c r="BK17" s="126">
        <f t="shared" si="14"/>
        <v>98.66666666666667</v>
      </c>
      <c r="BL17" s="127">
        <f t="shared" si="3"/>
        <v>86.66666666666667</v>
      </c>
      <c r="BM17" s="132">
        <f>+BM16/BM18</f>
        <v>92.54748798494151</v>
      </c>
      <c r="BN17" s="132">
        <f t="shared" si="4"/>
        <v>-6.11917868172516</v>
      </c>
      <c r="BP17" s="126">
        <f t="shared" si="5"/>
        <v>90.83333333333334</v>
      </c>
      <c r="BQ17" s="127">
        <f t="shared" si="6"/>
        <v>40.32474167643357</v>
      </c>
      <c r="BR17" s="132">
        <f>+BR16/BR18</f>
        <v>198.41952696580546</v>
      </c>
      <c r="BS17" s="132">
        <f t="shared" si="7"/>
        <v>107.58619363247212</v>
      </c>
      <c r="BU17" s="126">
        <f t="shared" si="10"/>
        <v>92.59848566890432</v>
      </c>
      <c r="BV17" s="127">
        <f t="shared" si="11"/>
        <v>-3.0681809977623473</v>
      </c>
      <c r="BW17" s="132">
        <f>+BW16/BW18</f>
        <v>2885.8803919337543</v>
      </c>
      <c r="BX17" s="132">
        <f t="shared" si="8"/>
        <v>2793.28190626485</v>
      </c>
      <c r="BZ17" s="126">
        <f t="shared" si="12"/>
        <v>95.66666666666667</v>
      </c>
      <c r="CA17" s="127">
        <f t="shared" si="13"/>
        <v>87.83333333333334</v>
      </c>
      <c r="CB17" s="132">
        <f>+CB16/CB18</f>
        <v>92.59672768282141</v>
      </c>
      <c r="CC17" s="132">
        <f t="shared" si="9"/>
        <v>-3.0699389838452618</v>
      </c>
    </row>
    <row r="18" spans="1:81" ht="24" thickBot="1">
      <c r="A18" s="263"/>
      <c r="B18" s="134" t="s">
        <v>87</v>
      </c>
      <c r="C18" s="134"/>
      <c r="D18" s="136">
        <f>D16/D17</f>
        <v>5.656333579072861</v>
      </c>
      <c r="E18" s="137">
        <f>E16/E17</f>
        <v>5.773502910404418</v>
      </c>
      <c r="F18" s="138">
        <f>D18-E18</f>
        <v>-0.11716933133155738</v>
      </c>
      <c r="G18" s="139">
        <f>G16/G17</f>
        <v>5.291668986895546</v>
      </c>
      <c r="H18" s="140"/>
      <c r="I18" s="137">
        <f>I16/I17</f>
        <v>5.37210087886079</v>
      </c>
      <c r="J18" s="138">
        <f>G18-I18</f>
        <v>-0.0804318919652438</v>
      </c>
      <c r="K18" s="141"/>
      <c r="L18" s="136">
        <f>L16/L17</f>
        <v>5.630630208333333</v>
      </c>
      <c r="M18" s="142">
        <f>M16/M17</f>
        <v>5.544444444444444</v>
      </c>
      <c r="N18" s="137">
        <f>N16/N17</f>
        <v>5.343938530039858</v>
      </c>
      <c r="O18" s="138">
        <f>L18-N18</f>
        <v>0.28669167829347497</v>
      </c>
      <c r="P18" s="136">
        <f>P16/P17</f>
        <v>5.924198019801981</v>
      </c>
      <c r="Q18" s="142">
        <f>Q16/Q17</f>
        <v>6.044510772162527</v>
      </c>
      <c r="R18" s="137">
        <f>R16/R17</f>
        <v>6.112469545977113</v>
      </c>
      <c r="S18" s="138">
        <f>P18-R18</f>
        <v>-0.1882715261751322</v>
      </c>
      <c r="T18" s="136">
        <f>T16/T17</f>
        <v>5.540412631578947</v>
      </c>
      <c r="U18" s="142">
        <f>U16/U17</f>
        <v>5.544444444444444</v>
      </c>
      <c r="V18" s="137">
        <f>V16/V17</f>
        <v>5.622432868380185</v>
      </c>
      <c r="W18" s="138">
        <f>T18-V18</f>
        <v>-0.08202023680123816</v>
      </c>
      <c r="X18" s="136">
        <f>X16/X17</f>
        <v>5.103516</v>
      </c>
      <c r="Y18" s="137">
        <f>Y16/Y17</f>
        <v>5.932079538367745</v>
      </c>
      <c r="Z18" s="138">
        <f>X18-Y18</f>
        <v>-0.828563538367745</v>
      </c>
      <c r="AA18" s="136"/>
      <c r="AB18" s="142">
        <f>AB16/AB17</f>
        <v>5.544444444444444</v>
      </c>
      <c r="AC18" s="137">
        <f>AC16/AC17</f>
        <v>0</v>
      </c>
      <c r="AD18" s="138">
        <f>AA18-AC18</f>
        <v>0</v>
      </c>
      <c r="AE18" s="136"/>
      <c r="AF18" s="142">
        <f>AF16/AF17</f>
        <v>5.544444444444444</v>
      </c>
      <c r="AG18" s="137">
        <f>AG16/AG17</f>
        <v>0</v>
      </c>
      <c r="AH18" s="138">
        <f>AE18-AG18</f>
        <v>0</v>
      </c>
      <c r="AI18" s="136"/>
      <c r="AJ18" s="142">
        <f>AJ16/AJ17</f>
        <v>5.544444444444444</v>
      </c>
      <c r="AK18" s="137">
        <f>AK16/AK17</f>
        <v>0</v>
      </c>
      <c r="AL18" s="138">
        <f>AI18-AK18</f>
        <v>0</v>
      </c>
      <c r="AM18" s="136"/>
      <c r="AN18" s="142">
        <f>AN16/AN17</f>
        <v>5.544444444444444</v>
      </c>
      <c r="AO18" s="137">
        <f>AO16/AO17</f>
        <v>0</v>
      </c>
      <c r="AP18" s="138">
        <f>AM18-AO18</f>
        <v>0</v>
      </c>
      <c r="AQ18" s="136"/>
      <c r="AR18" s="142">
        <f>AR16/AR17</f>
        <v>5.544444444444444</v>
      </c>
      <c r="AS18" s="137">
        <f>AS16/AS17</f>
        <v>0</v>
      </c>
      <c r="AT18" s="138">
        <f>AQ18-AS18</f>
        <v>0</v>
      </c>
      <c r="AU18" s="136"/>
      <c r="AV18" s="142">
        <f>AV16/AV17</f>
        <v>5.544444444444444</v>
      </c>
      <c r="AW18" s="137">
        <f>AW16/AW17</f>
        <v>0</v>
      </c>
      <c r="AX18" s="138">
        <f>AU18-AW18</f>
        <v>0</v>
      </c>
      <c r="AY18" s="237"/>
      <c r="AZ18" s="230">
        <f>AZ16/AZ17</f>
        <v>6.738076317645047</v>
      </c>
      <c r="BA18" s="230"/>
      <c r="BB18" s="136">
        <f t="shared" si="0"/>
        <v>5.497482336804285</v>
      </c>
      <c r="BC18" s="137">
        <f t="shared" si="1"/>
        <v>5.496514106435022</v>
      </c>
      <c r="BD18" s="143">
        <f>BC18</f>
        <v>5.496514106435022</v>
      </c>
      <c r="BE18" s="143">
        <f t="shared" si="2"/>
        <v>-0.0009682303692626348</v>
      </c>
      <c r="BF18" s="144"/>
      <c r="BG18" s="123"/>
      <c r="BH18" s="123"/>
      <c r="BI18" s="123"/>
      <c r="BJ18" s="123"/>
      <c r="BK18" s="136">
        <f t="shared" si="14"/>
        <v>5.522708883793643</v>
      </c>
      <c r="BL18" s="137">
        <f t="shared" si="3"/>
        <v>5.888993984241682</v>
      </c>
      <c r="BM18" s="143">
        <f>BL18</f>
        <v>5.888993984241682</v>
      </c>
      <c r="BN18" s="143">
        <f t="shared" si="4"/>
        <v>0.36628510044803875</v>
      </c>
      <c r="BP18" s="136">
        <f t="shared" si="5"/>
        <v>5.804975941390699</v>
      </c>
      <c r="BQ18" s="137">
        <f t="shared" si="6"/>
        <v>2.654121290129945</v>
      </c>
      <c r="BR18" s="143">
        <f>BQ18</f>
        <v>2.654121290129945</v>
      </c>
      <c r="BS18" s="143">
        <f t="shared" si="7"/>
        <v>-3.1508546512607545</v>
      </c>
      <c r="BU18" s="136">
        <f t="shared" si="10"/>
        <v>5.6927540453383525</v>
      </c>
      <c r="BV18" s="137">
        <f t="shared" si="11"/>
        <v>0.18265843503938806</v>
      </c>
      <c r="BW18" s="143">
        <f>BV18</f>
        <v>0.18265843503938806</v>
      </c>
      <c r="BX18" s="143">
        <f t="shared" si="8"/>
        <v>-5.510095610298965</v>
      </c>
      <c r="BZ18" s="136">
        <f t="shared" si="12"/>
        <v>5.510095610298964</v>
      </c>
      <c r="CA18" s="137">
        <f t="shared" si="13"/>
        <v>5.6927540453383525</v>
      </c>
      <c r="CB18" s="143">
        <f>CA18</f>
        <v>5.6927540453383525</v>
      </c>
      <c r="CC18" s="143">
        <f t="shared" si="9"/>
        <v>0.1826584350393885</v>
      </c>
    </row>
    <row r="19" spans="1:81" ht="23.25">
      <c r="A19" s="259" t="s">
        <v>92</v>
      </c>
      <c r="B19" s="114" t="s">
        <v>85</v>
      </c>
      <c r="C19" s="114"/>
      <c r="D19" s="116">
        <f>$B$42*E68</f>
        <v>25.23649560391807</v>
      </c>
      <c r="E19" s="117">
        <f>$B$49*E68</f>
        <v>24.37435580803954</v>
      </c>
      <c r="F19" s="118">
        <f>D19-E19</f>
        <v>0.8621397958785302</v>
      </c>
      <c r="G19" s="119">
        <f>$B$50*$E$68</f>
        <v>24.117226395233658</v>
      </c>
      <c r="H19" s="120">
        <f>B47*0.02</f>
        <v>60.660000000000004</v>
      </c>
      <c r="I19" s="117">
        <f>$B$46*E68</f>
        <v>22.937456148241985</v>
      </c>
      <c r="J19" s="118">
        <f>G19-I19</f>
        <v>1.1797702469916729</v>
      </c>
      <c r="K19" s="121"/>
      <c r="L19" s="214">
        <f>B54*L68</f>
        <v>25.4372</v>
      </c>
      <c r="M19" s="120">
        <v>62</v>
      </c>
      <c r="N19" s="117">
        <f>$B$53*E68</f>
        <v>23.073583484433332</v>
      </c>
      <c r="O19" s="118">
        <f>L19-N19</f>
        <v>2.363616515566669</v>
      </c>
      <c r="P19" s="214">
        <f>B57*N68</f>
        <v>29.078400000000002</v>
      </c>
      <c r="Q19" s="120">
        <f>$B$59*B68</f>
        <v>26.0675233830953</v>
      </c>
      <c r="R19" s="117">
        <f>$B$58*E68</f>
        <v>26.0986353997966</v>
      </c>
      <c r="S19" s="118">
        <f>P19-R19</f>
        <v>2.979764600203403</v>
      </c>
      <c r="T19" s="214">
        <f>B60*O68</f>
        <v>25.113599999999998</v>
      </c>
      <c r="U19" s="120">
        <v>62</v>
      </c>
      <c r="V19" s="117">
        <f>$B$61*E68</f>
        <v>23.466840233430556</v>
      </c>
      <c r="W19" s="118">
        <f>T19-V19</f>
        <v>1.646759766569442</v>
      </c>
      <c r="X19" s="214">
        <f>B72*P68</f>
        <v>25.5512</v>
      </c>
      <c r="Y19" s="117">
        <f>$B$62*E68</f>
        <v>23.90547276115823</v>
      </c>
      <c r="Z19" s="118">
        <f>X19-Y19</f>
        <v>1.645727238841772</v>
      </c>
      <c r="AA19" s="116"/>
      <c r="AB19" s="120">
        <v>62</v>
      </c>
      <c r="AC19" s="117">
        <f>$B$53*R68</f>
        <v>0</v>
      </c>
      <c r="AD19" s="118">
        <f>AA19-AC19</f>
        <v>0</v>
      </c>
      <c r="AE19" s="116"/>
      <c r="AF19" s="120">
        <v>62</v>
      </c>
      <c r="AG19" s="117">
        <f>$B$53*V68</f>
        <v>0</v>
      </c>
      <c r="AH19" s="118">
        <f>AE19-AG19</f>
        <v>0</v>
      </c>
      <c r="AI19" s="116"/>
      <c r="AJ19" s="120">
        <v>62</v>
      </c>
      <c r="AK19" s="117">
        <f>$B$53*Y68</f>
        <v>0</v>
      </c>
      <c r="AL19" s="118">
        <f>AI19-AK19</f>
        <v>0</v>
      </c>
      <c r="AM19" s="116"/>
      <c r="AN19" s="120">
        <v>62</v>
      </c>
      <c r="AO19" s="117">
        <f>$B$53*AC68</f>
        <v>0</v>
      </c>
      <c r="AP19" s="118">
        <f>AM19-AO19</f>
        <v>0</v>
      </c>
      <c r="AQ19" s="116"/>
      <c r="AR19" s="120">
        <v>62</v>
      </c>
      <c r="AS19" s="117">
        <f>$B$53*AG68</f>
        <v>0</v>
      </c>
      <c r="AT19" s="118">
        <f>AQ19-AS19</f>
        <v>0</v>
      </c>
      <c r="AU19" s="116"/>
      <c r="AV19" s="120">
        <v>62</v>
      </c>
      <c r="AW19" s="117">
        <f>$B$53*AK68</f>
        <v>0</v>
      </c>
      <c r="AX19" s="118">
        <f>AU19-AW19</f>
        <v>0</v>
      </c>
      <c r="AY19" s="235"/>
      <c r="AZ19" s="228">
        <f>B84*E68</f>
        <v>26.50701740837064</v>
      </c>
      <c r="BA19" s="228"/>
      <c r="BB19" s="116">
        <f t="shared" si="0"/>
        <v>37.117907333050574</v>
      </c>
      <c r="BC19" s="117">
        <f t="shared" si="1"/>
        <v>23.461798480238286</v>
      </c>
      <c r="BD19" s="122">
        <f>BB19</f>
        <v>37.117907333050574</v>
      </c>
      <c r="BE19" s="122">
        <f t="shared" si="2"/>
        <v>0</v>
      </c>
      <c r="BF19" s="144"/>
      <c r="BG19" s="123"/>
      <c r="BH19" s="123"/>
      <c r="BI19" s="123"/>
      <c r="BJ19" s="123"/>
      <c r="BK19" s="116">
        <f t="shared" si="14"/>
        <v>26.58106666666667</v>
      </c>
      <c r="BL19" s="117">
        <f t="shared" si="3"/>
        <v>24.490316131461793</v>
      </c>
      <c r="BM19" s="122">
        <f>BK19</f>
        <v>26.58106666666667</v>
      </c>
      <c r="BN19" s="122">
        <f t="shared" si="4"/>
        <v>0</v>
      </c>
      <c r="BP19" s="116">
        <f t="shared" si="5"/>
        <v>31.608271366423587</v>
      </c>
      <c r="BQ19" s="117">
        <f t="shared" si="6"/>
        <v>20.04883596662699</v>
      </c>
      <c r="BR19" s="122">
        <f>BP19</f>
        <v>31.608271366423587</v>
      </c>
      <c r="BS19" s="122">
        <f t="shared" si="7"/>
        <v>0</v>
      </c>
      <c r="BU19" s="116">
        <f t="shared" si="10"/>
        <v>31.84948699985862</v>
      </c>
      <c r="BV19" s="117">
        <f t="shared" si="11"/>
        <v>0</v>
      </c>
      <c r="BW19" s="122">
        <f>BU19</f>
        <v>31.84948699985862</v>
      </c>
      <c r="BX19" s="122">
        <f t="shared" si="8"/>
        <v>0</v>
      </c>
      <c r="BZ19" s="116">
        <f>AVERAGE(BB19,BK19)</f>
        <v>31.84948699985862</v>
      </c>
      <c r="CA19" s="117">
        <f t="shared" si="13"/>
        <v>23.97605730585004</v>
      </c>
      <c r="CB19" s="122">
        <f>BZ19</f>
        <v>31.84948699985862</v>
      </c>
      <c r="CC19" s="122">
        <f t="shared" si="9"/>
        <v>0</v>
      </c>
    </row>
    <row r="20" spans="1:81" ht="23.25">
      <c r="A20" s="259"/>
      <c r="B20" s="124" t="s">
        <v>86</v>
      </c>
      <c r="C20" s="124"/>
      <c r="D20" s="126">
        <v>16</v>
      </c>
      <c r="E20" s="127">
        <f>22</f>
        <v>22</v>
      </c>
      <c r="F20" s="128">
        <f>E20-D20</f>
        <v>6</v>
      </c>
      <c r="G20" s="129">
        <v>16</v>
      </c>
      <c r="H20" s="130"/>
      <c r="I20" s="127">
        <v>22</v>
      </c>
      <c r="J20" s="128">
        <f>I20-G20</f>
        <v>6</v>
      </c>
      <c r="K20" s="131"/>
      <c r="L20" s="126">
        <v>16</v>
      </c>
      <c r="M20" s="130">
        <v>23</v>
      </c>
      <c r="N20" s="127">
        <v>22</v>
      </c>
      <c r="O20" s="128">
        <f>N20-L20</f>
        <v>6</v>
      </c>
      <c r="P20" s="126">
        <v>17</v>
      </c>
      <c r="Q20" s="130">
        <v>23</v>
      </c>
      <c r="R20" s="127">
        <f>23</f>
        <v>23</v>
      </c>
      <c r="S20" s="128">
        <f>R20-P20</f>
        <v>6</v>
      </c>
      <c r="T20" s="126">
        <v>16</v>
      </c>
      <c r="U20" s="130">
        <v>23</v>
      </c>
      <c r="V20" s="127">
        <f>23</f>
        <v>23</v>
      </c>
      <c r="W20" s="128">
        <f>V20-T20</f>
        <v>7</v>
      </c>
      <c r="X20" s="126">
        <v>20</v>
      </c>
      <c r="Y20" s="127">
        <f>25</f>
        <v>25</v>
      </c>
      <c r="Z20" s="128">
        <f>Y20-X20</f>
        <v>5</v>
      </c>
      <c r="AA20" s="126"/>
      <c r="AB20" s="130">
        <v>23</v>
      </c>
      <c r="AC20" s="127">
        <v>23</v>
      </c>
      <c r="AD20" s="128">
        <f>AC20-AA20</f>
        <v>23</v>
      </c>
      <c r="AE20" s="126"/>
      <c r="AF20" s="130">
        <v>23</v>
      </c>
      <c r="AG20" s="127">
        <v>23</v>
      </c>
      <c r="AH20" s="128">
        <f>AG20-AE20</f>
        <v>23</v>
      </c>
      <c r="AI20" s="126"/>
      <c r="AJ20" s="130">
        <v>23</v>
      </c>
      <c r="AK20" s="127">
        <v>23</v>
      </c>
      <c r="AL20" s="128">
        <f>AK20-AI20</f>
        <v>23</v>
      </c>
      <c r="AM20" s="126"/>
      <c r="AN20" s="130">
        <v>23</v>
      </c>
      <c r="AO20" s="127">
        <v>23</v>
      </c>
      <c r="AP20" s="128">
        <f>AO20-AM20</f>
        <v>23</v>
      </c>
      <c r="AQ20" s="126"/>
      <c r="AR20" s="130">
        <v>23</v>
      </c>
      <c r="AS20" s="127">
        <v>23</v>
      </c>
      <c r="AT20" s="128">
        <f>AS20-AQ20</f>
        <v>23</v>
      </c>
      <c r="AU20" s="126"/>
      <c r="AV20" s="130">
        <v>23</v>
      </c>
      <c r="AW20" s="127">
        <v>23</v>
      </c>
      <c r="AX20" s="128">
        <f>AW20-AU20</f>
        <v>23</v>
      </c>
      <c r="AY20" s="236"/>
      <c r="AZ20" s="229">
        <f>27</f>
        <v>27</v>
      </c>
      <c r="BA20" s="229"/>
      <c r="BB20" s="126">
        <f t="shared" si="0"/>
        <v>18.333333333333332</v>
      </c>
      <c r="BC20" s="127">
        <f t="shared" si="1"/>
        <v>22</v>
      </c>
      <c r="BD20" s="132">
        <f>+BD19/BD21</f>
        <v>34.805258514811825</v>
      </c>
      <c r="BE20" s="132">
        <f t="shared" si="2"/>
        <v>16.471925181478493</v>
      </c>
      <c r="BF20" s="144"/>
      <c r="BG20" s="133"/>
      <c r="BH20" s="133"/>
      <c r="BI20" s="133"/>
      <c r="BJ20" s="133"/>
      <c r="BK20" s="126">
        <f t="shared" si="14"/>
        <v>17.666666666666668</v>
      </c>
      <c r="BL20" s="127">
        <f t="shared" si="3"/>
        <v>23.666666666666668</v>
      </c>
      <c r="BM20" s="132">
        <f>+BM19/BM21</f>
        <v>25.63068439101078</v>
      </c>
      <c r="BN20" s="132">
        <f t="shared" si="4"/>
        <v>7.964017724344114</v>
      </c>
      <c r="BP20" s="126">
        <f t="shared" si="5"/>
        <v>20.666666666666664</v>
      </c>
      <c r="BQ20" s="127">
        <f t="shared" si="6"/>
        <v>20.402629257405913</v>
      </c>
      <c r="BR20" s="132">
        <f>+BR19/BR21</f>
        <v>38.49465239464472</v>
      </c>
      <c r="BS20" s="132">
        <f t="shared" si="7"/>
        <v>17.827985727978053</v>
      </c>
      <c r="BU20" s="126">
        <f t="shared" si="10"/>
        <v>30.217971452911303</v>
      </c>
      <c r="BV20" s="127">
        <f t="shared" si="11"/>
        <v>12.217971452911303</v>
      </c>
      <c r="BW20" s="132">
        <f>+BW19/BW21</f>
        <v>-47.44993192391703</v>
      </c>
      <c r="BX20" s="132">
        <f t="shared" si="8"/>
        <v>-77.66790337682833</v>
      </c>
      <c r="BZ20" s="126">
        <f t="shared" si="12"/>
        <v>18</v>
      </c>
      <c r="CA20" s="127">
        <f t="shared" si="13"/>
        <v>22.833333333333336</v>
      </c>
      <c r="CB20" s="132">
        <f>+CB19/CB21</f>
        <v>30.28201065547555</v>
      </c>
      <c r="CC20" s="132">
        <f t="shared" si="9"/>
        <v>12.282010655475549</v>
      </c>
    </row>
    <row r="21" spans="1:81" ht="24" thickBot="1">
      <c r="A21" s="260"/>
      <c r="B21" s="134" t="s">
        <v>87</v>
      </c>
      <c r="C21" s="134"/>
      <c r="D21" s="136">
        <f>D19/D20</f>
        <v>1.5772809752448793</v>
      </c>
      <c r="E21" s="137">
        <f>E19/E20</f>
        <v>1.1079252640017971</v>
      </c>
      <c r="F21" s="138">
        <f>D21-E21</f>
        <v>0.4693557112430822</v>
      </c>
      <c r="G21" s="139">
        <f>G19/G20</f>
        <v>1.5073266497021036</v>
      </c>
      <c r="H21" s="140"/>
      <c r="I21" s="137">
        <f>I19/I20</f>
        <v>1.0426116431019083</v>
      </c>
      <c r="J21" s="138">
        <f>G21-I21</f>
        <v>0.46471500660019527</v>
      </c>
      <c r="K21" s="141"/>
      <c r="L21" s="136">
        <f>L19/L20</f>
        <v>1.589825</v>
      </c>
      <c r="M21" s="142">
        <f>M19/M20</f>
        <v>2.6956521739130435</v>
      </c>
      <c r="N21" s="137">
        <f>N19/N20</f>
        <v>1.048799249292424</v>
      </c>
      <c r="O21" s="138">
        <f>L21-N21</f>
        <v>0.541025750707576</v>
      </c>
      <c r="P21" s="136">
        <f>P19/P20</f>
        <v>1.710494117647059</v>
      </c>
      <c r="Q21" s="142">
        <f>Q19/Q20</f>
        <v>1.1333705818737088</v>
      </c>
      <c r="R21" s="137">
        <f>R19/R20</f>
        <v>1.134723278252026</v>
      </c>
      <c r="S21" s="138">
        <f>P21-R21</f>
        <v>0.5757708393950329</v>
      </c>
      <c r="T21" s="136">
        <f>T19/T20</f>
        <v>1.5695999999999999</v>
      </c>
      <c r="U21" s="142">
        <f>U19/U20</f>
        <v>2.6956521739130435</v>
      </c>
      <c r="V21" s="137">
        <f>V19/V20</f>
        <v>1.0202974014535025</v>
      </c>
      <c r="W21" s="138">
        <f>T21-V21</f>
        <v>0.5493025985464974</v>
      </c>
      <c r="X21" s="136">
        <f>X19/X20</f>
        <v>1.27756</v>
      </c>
      <c r="Y21" s="137">
        <f>Y19/Y20</f>
        <v>0.9562189104463292</v>
      </c>
      <c r="Z21" s="138">
        <f>X21-Y21</f>
        <v>0.3213410895536708</v>
      </c>
      <c r="AA21" s="136"/>
      <c r="AB21" s="142">
        <f>AB19/AB20</f>
        <v>2.6956521739130435</v>
      </c>
      <c r="AC21" s="137">
        <f>AC19/AC20</f>
        <v>0</v>
      </c>
      <c r="AD21" s="138">
        <f>AA21-AC21</f>
        <v>0</v>
      </c>
      <c r="AE21" s="136"/>
      <c r="AF21" s="142">
        <f>AF19/AF20</f>
        <v>2.6956521739130435</v>
      </c>
      <c r="AG21" s="137">
        <f>AG19/AG20</f>
        <v>0</v>
      </c>
      <c r="AH21" s="138">
        <f>AE21-AG21</f>
        <v>0</v>
      </c>
      <c r="AI21" s="136"/>
      <c r="AJ21" s="142">
        <f>AJ19/AJ20</f>
        <v>2.6956521739130435</v>
      </c>
      <c r="AK21" s="137">
        <f>AK19/AK20</f>
        <v>0</v>
      </c>
      <c r="AL21" s="138">
        <f>AI21-AK21</f>
        <v>0</v>
      </c>
      <c r="AM21" s="136"/>
      <c r="AN21" s="142">
        <f>AN19/AN20</f>
        <v>2.6956521739130435</v>
      </c>
      <c r="AO21" s="137">
        <f>AO19/AO20</f>
        <v>0</v>
      </c>
      <c r="AP21" s="138">
        <f>AM21-AO21</f>
        <v>0</v>
      </c>
      <c r="AQ21" s="136"/>
      <c r="AR21" s="142">
        <f>AR19/AR20</f>
        <v>2.6956521739130435</v>
      </c>
      <c r="AS21" s="137">
        <f>AS19/AS20</f>
        <v>0</v>
      </c>
      <c r="AT21" s="138">
        <f>AQ21-AS21</f>
        <v>0</v>
      </c>
      <c r="AU21" s="136"/>
      <c r="AV21" s="142">
        <f>AV19/AV20</f>
        <v>2.6956521739130435</v>
      </c>
      <c r="AW21" s="137">
        <f>AW19/AW20</f>
        <v>0</v>
      </c>
      <c r="AX21" s="138">
        <f>AU21-AW21</f>
        <v>0</v>
      </c>
      <c r="AY21" s="237"/>
      <c r="AZ21" s="230">
        <f>AZ19/AZ20</f>
        <v>0.9817413854952088</v>
      </c>
      <c r="BA21" s="230"/>
      <c r="BB21" s="136">
        <f t="shared" si="0"/>
        <v>1.9267532662866753</v>
      </c>
      <c r="BC21" s="137">
        <f t="shared" si="1"/>
        <v>1.0664453854653766</v>
      </c>
      <c r="BD21" s="143">
        <f>BC21</f>
        <v>1.0664453854653766</v>
      </c>
      <c r="BE21" s="143">
        <f t="shared" si="2"/>
        <v>-0.8603078808212987</v>
      </c>
      <c r="BF21" s="144"/>
      <c r="BG21" s="123"/>
      <c r="BH21" s="123"/>
      <c r="BI21" s="123"/>
      <c r="BJ21" s="123"/>
      <c r="BK21" s="136">
        <f t="shared" si="14"/>
        <v>1.5192180392156862</v>
      </c>
      <c r="BL21" s="137">
        <f t="shared" si="3"/>
        <v>1.0370798633839526</v>
      </c>
      <c r="BM21" s="143">
        <f>BL21</f>
        <v>1.0370798633839526</v>
      </c>
      <c r="BN21" s="143">
        <f t="shared" si="4"/>
        <v>-0.4821381758317336</v>
      </c>
      <c r="BP21" s="136">
        <f t="shared" si="5"/>
        <v>1.5307382722693506</v>
      </c>
      <c r="BQ21" s="137">
        <f t="shared" si="6"/>
        <v>0.8211081124302048</v>
      </c>
      <c r="BR21" s="143">
        <f>BQ21</f>
        <v>0.8211081124302048</v>
      </c>
      <c r="BS21" s="143">
        <f t="shared" si="7"/>
        <v>-0.7096301598391458</v>
      </c>
      <c r="BU21" s="136">
        <f t="shared" si="10"/>
        <v>1.0517626244246645</v>
      </c>
      <c r="BV21" s="137">
        <f t="shared" si="11"/>
        <v>-0.6712230283265161</v>
      </c>
      <c r="BW21" s="143">
        <f>BV21</f>
        <v>-0.6712230283265161</v>
      </c>
      <c r="BX21" s="143">
        <f t="shared" si="8"/>
        <v>-1.7229856527511807</v>
      </c>
      <c r="BZ21" s="136">
        <f t="shared" si="12"/>
        <v>1.7229856527511807</v>
      </c>
      <c r="CA21" s="137">
        <f t="shared" si="13"/>
        <v>1.0517626244246645</v>
      </c>
      <c r="CB21" s="143">
        <f>CA21</f>
        <v>1.0517626244246645</v>
      </c>
      <c r="CC21" s="143">
        <f t="shared" si="9"/>
        <v>-0.6712230283265161</v>
      </c>
    </row>
    <row r="22" spans="1:81" ht="23.25">
      <c r="A22" s="259" t="s">
        <v>93</v>
      </c>
      <c r="B22" s="114" t="s">
        <v>85</v>
      </c>
      <c r="C22" s="114"/>
      <c r="D22" s="116">
        <f>$B$42*E69</f>
        <v>231.41794080597538</v>
      </c>
      <c r="E22" s="117">
        <f>$B$49*E69</f>
        <v>223.5121436073295</v>
      </c>
      <c r="F22" s="118">
        <f>D22-E22</f>
        <v>7.905797198645871</v>
      </c>
      <c r="G22" s="119">
        <f>$B$50*$E$69</f>
        <v>221.1542742673825</v>
      </c>
      <c r="H22" s="120">
        <f>B47*0.064</f>
        <v>194.112</v>
      </c>
      <c r="I22" s="117">
        <f>$B$46*E69</f>
        <v>210.33581494291977</v>
      </c>
      <c r="J22" s="118">
        <f>G22-I22</f>
        <v>10.818459324462737</v>
      </c>
      <c r="K22" s="121"/>
      <c r="L22" s="116">
        <f>B54*L69</f>
        <v>233.95530000000002</v>
      </c>
      <c r="M22" s="120">
        <v>198</v>
      </c>
      <c r="N22" s="117">
        <f>$B$53*E69</f>
        <v>211.584098711127</v>
      </c>
      <c r="O22" s="118">
        <f>L22-N22</f>
        <v>22.37120128887301</v>
      </c>
      <c r="P22" s="116">
        <f>B57*N69</f>
        <v>272.144</v>
      </c>
      <c r="Q22" s="120">
        <f>$B$59*B69</f>
        <v>239.0103813324195</v>
      </c>
      <c r="R22" s="117">
        <f>$B$58*E69</f>
        <v>239.32373800462122</v>
      </c>
      <c r="S22" s="118">
        <f>P22-R22</f>
        <v>32.820261995378786</v>
      </c>
      <c r="T22" s="116">
        <f>B60*O69</f>
        <v>226.72</v>
      </c>
      <c r="U22" s="120">
        <v>198</v>
      </c>
      <c r="V22" s="117">
        <f>$B$61*E69</f>
        <v>215.19025181928126</v>
      </c>
      <c r="W22" s="118">
        <f>T22-V22</f>
        <v>11.529748180718741</v>
      </c>
      <c r="X22" s="116">
        <f>B72*P69</f>
        <v>234.3314</v>
      </c>
      <c r="Y22" s="117">
        <f>$B$62*E69</f>
        <v>219.2124995168379</v>
      </c>
      <c r="Z22" s="118">
        <f>X22-Y22</f>
        <v>15.118900483162093</v>
      </c>
      <c r="AA22" s="116"/>
      <c r="AB22" s="120">
        <v>198</v>
      </c>
      <c r="AC22" s="117">
        <f>$B$53*R69</f>
        <v>0</v>
      </c>
      <c r="AD22" s="118">
        <f>AA22-AC22</f>
        <v>0</v>
      </c>
      <c r="AE22" s="116"/>
      <c r="AF22" s="120">
        <v>198</v>
      </c>
      <c r="AG22" s="117">
        <f>$B$53*V69</f>
        <v>0</v>
      </c>
      <c r="AH22" s="118">
        <f>AE22-AG22</f>
        <v>0</v>
      </c>
      <c r="AI22" s="116"/>
      <c r="AJ22" s="120">
        <v>198</v>
      </c>
      <c r="AK22" s="117">
        <f>$B$53*Y69</f>
        <v>0</v>
      </c>
      <c r="AL22" s="118">
        <f>AI22-AK22</f>
        <v>0</v>
      </c>
      <c r="AM22" s="116"/>
      <c r="AN22" s="120">
        <v>198</v>
      </c>
      <c r="AO22" s="117">
        <f>$B$53*AC69</f>
        <v>0</v>
      </c>
      <c r="AP22" s="118">
        <f>AM22-AO22</f>
        <v>0</v>
      </c>
      <c r="AQ22" s="116"/>
      <c r="AR22" s="120">
        <v>198</v>
      </c>
      <c r="AS22" s="117">
        <f>$B$53*AG69</f>
        <v>0</v>
      </c>
      <c r="AT22" s="118">
        <f>AQ22-AS22</f>
        <v>0</v>
      </c>
      <c r="AU22" s="116"/>
      <c r="AV22" s="120">
        <v>198</v>
      </c>
      <c r="AW22" s="117">
        <f>$B$53*AK69</f>
        <v>0</v>
      </c>
      <c r="AX22" s="118">
        <f>AU22-AW22</f>
        <v>0</v>
      </c>
      <c r="AY22" s="235"/>
      <c r="AZ22" s="228">
        <f>B84*E69</f>
        <v>243.06858930924292</v>
      </c>
      <c r="BA22" s="228"/>
      <c r="BB22" s="116">
        <f t="shared" si="0"/>
        <v>216.85740502445265</v>
      </c>
      <c r="BC22" s="117">
        <f t="shared" si="1"/>
        <v>215.14401908712543</v>
      </c>
      <c r="BD22" s="122">
        <f>BB22</f>
        <v>216.85740502445265</v>
      </c>
      <c r="BE22" s="122">
        <f t="shared" si="2"/>
        <v>0</v>
      </c>
      <c r="BF22" s="144"/>
      <c r="BG22" s="123"/>
      <c r="BH22" s="123"/>
      <c r="BI22" s="123"/>
      <c r="BJ22" s="123"/>
      <c r="BK22" s="116">
        <f t="shared" si="14"/>
        <v>244.39846666666668</v>
      </c>
      <c r="BL22" s="117">
        <f t="shared" si="3"/>
        <v>224.57549644691346</v>
      </c>
      <c r="BM22" s="122">
        <f>BK22</f>
        <v>244.39846666666668</v>
      </c>
      <c r="BN22" s="122">
        <f t="shared" si="4"/>
        <v>0</v>
      </c>
      <c r="BP22" s="116">
        <f t="shared" si="5"/>
        <v>228.09057151453692</v>
      </c>
      <c r="BQ22" s="117">
        <f t="shared" si="6"/>
        <v>124.83883350991572</v>
      </c>
      <c r="BR22" s="122">
        <f>BP22</f>
        <v>228.09057151453692</v>
      </c>
      <c r="BS22" s="122">
        <f t="shared" si="7"/>
        <v>0</v>
      </c>
      <c r="BU22" s="116">
        <f t="shared" si="10"/>
        <v>230.62793584555965</v>
      </c>
      <c r="BV22" s="117">
        <f t="shared" si="11"/>
        <v>0</v>
      </c>
      <c r="BW22" s="122">
        <f>BU22</f>
        <v>230.62793584555965</v>
      </c>
      <c r="BX22" s="122">
        <f t="shared" si="8"/>
        <v>0</v>
      </c>
      <c r="BZ22" s="116">
        <f>AVERAGE(BB22,BK22)</f>
        <v>230.62793584555965</v>
      </c>
      <c r="CA22" s="117">
        <f t="shared" si="13"/>
        <v>219.85975776701946</v>
      </c>
      <c r="CB22" s="122">
        <f>BZ22</f>
        <v>230.62793584555965</v>
      </c>
      <c r="CC22" s="122">
        <f t="shared" si="9"/>
        <v>0</v>
      </c>
    </row>
    <row r="23" spans="1:81" ht="23.25">
      <c r="A23" s="259"/>
      <c r="B23" s="124" t="s">
        <v>86</v>
      </c>
      <c r="C23" s="124"/>
      <c r="D23" s="126">
        <v>30</v>
      </c>
      <c r="E23" s="127">
        <v>30</v>
      </c>
      <c r="F23" s="128">
        <f>E23-D23</f>
        <v>0</v>
      </c>
      <c r="G23" s="129">
        <v>27</v>
      </c>
      <c r="H23" s="130"/>
      <c r="I23" s="127">
        <v>31</v>
      </c>
      <c r="J23" s="128">
        <f>I23-G23</f>
        <v>4</v>
      </c>
      <c r="K23" s="131"/>
      <c r="L23" s="126">
        <v>27</v>
      </c>
      <c r="M23" s="130">
        <v>34</v>
      </c>
      <c r="N23" s="127">
        <v>32</v>
      </c>
      <c r="O23" s="128">
        <f>N23-L23</f>
        <v>5</v>
      </c>
      <c r="P23" s="126">
        <v>29</v>
      </c>
      <c r="Q23" s="130">
        <v>34</v>
      </c>
      <c r="R23" s="127">
        <v>32</v>
      </c>
      <c r="S23" s="128">
        <f>R23-P23</f>
        <v>3</v>
      </c>
      <c r="T23" s="126">
        <v>31</v>
      </c>
      <c r="U23" s="130">
        <v>34</v>
      </c>
      <c r="V23" s="127">
        <v>32</v>
      </c>
      <c r="W23" s="128">
        <f>V23-T23</f>
        <v>1</v>
      </c>
      <c r="X23" s="126">
        <v>32</v>
      </c>
      <c r="Y23" s="127">
        <v>32</v>
      </c>
      <c r="Z23" s="128">
        <f>Y23-X23</f>
        <v>0</v>
      </c>
      <c r="AA23" s="126"/>
      <c r="AB23" s="130">
        <v>34</v>
      </c>
      <c r="AC23" s="127">
        <v>34</v>
      </c>
      <c r="AD23" s="128">
        <f>AC23-AA23</f>
        <v>34</v>
      </c>
      <c r="AE23" s="126"/>
      <c r="AF23" s="130">
        <v>34</v>
      </c>
      <c r="AG23" s="127">
        <v>34</v>
      </c>
      <c r="AH23" s="128">
        <f>AG23-AE23</f>
        <v>34</v>
      </c>
      <c r="AI23" s="126"/>
      <c r="AJ23" s="130">
        <v>34</v>
      </c>
      <c r="AK23" s="127">
        <v>34</v>
      </c>
      <c r="AL23" s="128">
        <f>AK23-AI23</f>
        <v>34</v>
      </c>
      <c r="AM23" s="126"/>
      <c r="AN23" s="130">
        <v>34</v>
      </c>
      <c r="AO23" s="127">
        <v>34</v>
      </c>
      <c r="AP23" s="128">
        <f>AO23-AM23</f>
        <v>34</v>
      </c>
      <c r="AQ23" s="126"/>
      <c r="AR23" s="130">
        <v>34</v>
      </c>
      <c r="AS23" s="127">
        <v>34</v>
      </c>
      <c r="AT23" s="128">
        <f>AS23-AQ23</f>
        <v>34</v>
      </c>
      <c r="AU23" s="126"/>
      <c r="AV23" s="130">
        <v>34</v>
      </c>
      <c r="AW23" s="127">
        <v>34</v>
      </c>
      <c r="AX23" s="128">
        <f>AW23-AU23</f>
        <v>34</v>
      </c>
      <c r="AY23" s="236"/>
      <c r="AZ23" s="229">
        <f>31</f>
        <v>31</v>
      </c>
      <c r="BA23" s="229"/>
      <c r="BB23" s="126">
        <f t="shared" si="0"/>
        <v>30.333333333333332</v>
      </c>
      <c r="BC23" s="127">
        <f t="shared" si="1"/>
        <v>31</v>
      </c>
      <c r="BD23" s="132">
        <f>+BD22/BD24</f>
        <v>31.206344631034902</v>
      </c>
      <c r="BE23" s="132">
        <f t="shared" si="2"/>
        <v>0.87301129770157</v>
      </c>
      <c r="BF23" s="144"/>
      <c r="BG23" s="133"/>
      <c r="BH23" s="133"/>
      <c r="BI23" s="133"/>
      <c r="BJ23" s="133"/>
      <c r="BK23" s="126">
        <f t="shared" si="14"/>
        <v>30.666666666666668</v>
      </c>
      <c r="BL23" s="127">
        <f t="shared" si="3"/>
        <v>32</v>
      </c>
      <c r="BM23" s="132">
        <f>+BM22/BM24</f>
        <v>34.82459599140662</v>
      </c>
      <c r="BN23" s="132">
        <f t="shared" si="4"/>
        <v>4.15792932473995</v>
      </c>
      <c r="BP23" s="126">
        <f t="shared" si="5"/>
        <v>31.166666666666664</v>
      </c>
      <c r="BQ23" s="127">
        <f t="shared" si="6"/>
        <v>17.10317231551745</v>
      </c>
      <c r="BR23" s="132">
        <f>+BR22/BR24</f>
        <v>51.51938255797003</v>
      </c>
      <c r="BS23" s="132">
        <f t="shared" si="7"/>
        <v>20.35271589130337</v>
      </c>
      <c r="BU23" s="126">
        <f t="shared" si="10"/>
        <v>33.01547031122076</v>
      </c>
      <c r="BV23" s="127">
        <f t="shared" si="11"/>
        <v>2.51547031122076</v>
      </c>
      <c r="BW23" s="132">
        <f>+BW22/BW24</f>
        <v>-359.6393654586306</v>
      </c>
      <c r="BX23" s="132">
        <f t="shared" si="8"/>
        <v>-392.6548357698514</v>
      </c>
      <c r="BZ23" s="126">
        <f t="shared" si="12"/>
        <v>30.5</v>
      </c>
      <c r="CA23" s="127">
        <f t="shared" si="13"/>
        <v>31.5</v>
      </c>
      <c r="CB23" s="132">
        <f>+CB22/CB24</f>
        <v>33.024386917265886</v>
      </c>
      <c r="CC23" s="132">
        <f t="shared" si="9"/>
        <v>2.524386917265886</v>
      </c>
    </row>
    <row r="24" spans="1:81" ht="24" thickBot="1">
      <c r="A24" s="259"/>
      <c r="B24" s="134" t="s">
        <v>87</v>
      </c>
      <c r="C24" s="134"/>
      <c r="D24" s="136">
        <f>D22/D23</f>
        <v>7.7139313601991795</v>
      </c>
      <c r="E24" s="137">
        <f>E22/E23</f>
        <v>7.450404786910983</v>
      </c>
      <c r="F24" s="138">
        <f>D24-E24</f>
        <v>0.2635265732881962</v>
      </c>
      <c r="G24" s="139">
        <f>G22/G23</f>
        <v>8.190899046940093</v>
      </c>
      <c r="H24" s="140"/>
      <c r="I24" s="137">
        <f>I22/I23</f>
        <v>6.785026288481283</v>
      </c>
      <c r="J24" s="138">
        <f>G24-I24</f>
        <v>1.40587275845881</v>
      </c>
      <c r="K24" s="141"/>
      <c r="L24" s="136">
        <f>L22/L23</f>
        <v>8.665011111111111</v>
      </c>
      <c r="M24" s="142">
        <f>M22/M23</f>
        <v>5.823529411764706</v>
      </c>
      <c r="N24" s="137">
        <f>N22/N23</f>
        <v>6.612003084722719</v>
      </c>
      <c r="O24" s="138">
        <f>L24-N24</f>
        <v>2.053008026388392</v>
      </c>
      <c r="P24" s="136">
        <f>P22/P23</f>
        <v>9.384275862068966</v>
      </c>
      <c r="Q24" s="142">
        <f>Q22/Q23</f>
        <v>7.0297170980123385</v>
      </c>
      <c r="R24" s="137">
        <f>R22/R23</f>
        <v>7.478866812644413</v>
      </c>
      <c r="S24" s="138">
        <f>P24-R24</f>
        <v>1.905409049424553</v>
      </c>
      <c r="T24" s="136">
        <f>T22/T23</f>
        <v>7.313548387096774</v>
      </c>
      <c r="U24" s="142">
        <f>U22/U23</f>
        <v>5.823529411764706</v>
      </c>
      <c r="V24" s="137">
        <f>V22/V23</f>
        <v>6.724695369352539</v>
      </c>
      <c r="W24" s="138">
        <f>T24-V24</f>
        <v>0.5888530177442348</v>
      </c>
      <c r="X24" s="136">
        <f>X22/X23</f>
        <v>7.32285625</v>
      </c>
      <c r="Y24" s="137">
        <f>Y22/Y23</f>
        <v>6.850390609901185</v>
      </c>
      <c r="Z24" s="138">
        <f>X24-Y24</f>
        <v>0.4724656400988154</v>
      </c>
      <c r="AA24" s="136"/>
      <c r="AB24" s="142">
        <f>AB22/AB23</f>
        <v>5.823529411764706</v>
      </c>
      <c r="AC24" s="137">
        <f>AC22/AC23</f>
        <v>0</v>
      </c>
      <c r="AD24" s="138">
        <f>AA24-AC24</f>
        <v>0</v>
      </c>
      <c r="AE24" s="136"/>
      <c r="AF24" s="142">
        <f>AF22/AF23</f>
        <v>5.823529411764706</v>
      </c>
      <c r="AG24" s="137">
        <f>AG22/AG23</f>
        <v>0</v>
      </c>
      <c r="AH24" s="138">
        <f>AE24-AG24</f>
        <v>0</v>
      </c>
      <c r="AI24" s="136"/>
      <c r="AJ24" s="142">
        <f>AJ22/AJ23</f>
        <v>5.823529411764706</v>
      </c>
      <c r="AK24" s="137">
        <f>AK22/AK23</f>
        <v>0</v>
      </c>
      <c r="AL24" s="138">
        <f>AI24-AK24</f>
        <v>0</v>
      </c>
      <c r="AM24" s="136"/>
      <c r="AN24" s="142">
        <f>AN22/AN23</f>
        <v>5.823529411764706</v>
      </c>
      <c r="AO24" s="137">
        <f>AO22/AO23</f>
        <v>0</v>
      </c>
      <c r="AP24" s="138">
        <f>AM24-AO24</f>
        <v>0</v>
      </c>
      <c r="AQ24" s="136"/>
      <c r="AR24" s="142">
        <f>AR22/AR23</f>
        <v>5.823529411764706</v>
      </c>
      <c r="AS24" s="137">
        <f>AS22/AS23</f>
        <v>0</v>
      </c>
      <c r="AT24" s="138">
        <f>AQ24-AS24</f>
        <v>0</v>
      </c>
      <c r="AU24" s="136"/>
      <c r="AV24" s="142">
        <f>AV22/AV23</f>
        <v>5.823529411764706</v>
      </c>
      <c r="AW24" s="137">
        <f>AW22/AW23</f>
        <v>0</v>
      </c>
      <c r="AX24" s="138">
        <f>AU24-AW24</f>
        <v>0</v>
      </c>
      <c r="AY24" s="237"/>
      <c r="AZ24" s="230">
        <f>AZ22/AZ23</f>
        <v>7.840922235782029</v>
      </c>
      <c r="BA24" s="230"/>
      <c r="BB24" s="136">
        <f t="shared" si="0"/>
        <v>7.242786606301326</v>
      </c>
      <c r="BC24" s="137">
        <f t="shared" si="1"/>
        <v>6.949144720038329</v>
      </c>
      <c r="BD24" s="143">
        <f>BC24</f>
        <v>6.949144720038329</v>
      </c>
      <c r="BE24" s="143">
        <f t="shared" si="2"/>
        <v>-0.29364188626299725</v>
      </c>
      <c r="BF24" s="144"/>
      <c r="BG24" s="123"/>
      <c r="BH24" s="123"/>
      <c r="BI24" s="123"/>
      <c r="BJ24" s="123"/>
      <c r="BK24" s="136">
        <f t="shared" si="14"/>
        <v>8.006893499721913</v>
      </c>
      <c r="BL24" s="137">
        <f t="shared" si="3"/>
        <v>7.017984263966046</v>
      </c>
      <c r="BM24" s="143">
        <f>BL24</f>
        <v>7.017984263966046</v>
      </c>
      <c r="BN24" s="143">
        <f t="shared" si="4"/>
        <v>-0.9889092357558678</v>
      </c>
      <c r="BP24" s="136">
        <f t="shared" si="5"/>
        <v>7.360826709472869</v>
      </c>
      <c r="BQ24" s="137">
        <f t="shared" si="6"/>
        <v>4.427276884731441</v>
      </c>
      <c r="BR24" s="143">
        <f>BQ24</f>
        <v>4.427276884731441</v>
      </c>
      <c r="BS24" s="143">
        <f t="shared" si="7"/>
        <v>-2.9335498247414282</v>
      </c>
      <c r="BU24" s="136">
        <f t="shared" si="10"/>
        <v>6.983564492002188</v>
      </c>
      <c r="BV24" s="137">
        <f t="shared" si="11"/>
        <v>-0.6412755610094325</v>
      </c>
      <c r="BW24" s="143">
        <f>BV24</f>
        <v>-0.6412755610094325</v>
      </c>
      <c r="BX24" s="143">
        <f t="shared" si="8"/>
        <v>-7.624840053011621</v>
      </c>
      <c r="BZ24" s="136">
        <f t="shared" si="12"/>
        <v>7.62484005301162</v>
      </c>
      <c r="CA24" s="137">
        <f t="shared" si="13"/>
        <v>6.983564492002188</v>
      </c>
      <c r="CB24" s="143">
        <f>CA24</f>
        <v>6.983564492002188</v>
      </c>
      <c r="CC24" s="143">
        <f t="shared" si="9"/>
        <v>-0.6412755610094321</v>
      </c>
    </row>
    <row r="25" spans="1:81" ht="24" hidden="1" thickBot="1">
      <c r="A25" s="147"/>
      <c r="B25" s="114" t="s">
        <v>85</v>
      </c>
      <c r="C25" s="114"/>
      <c r="D25" s="116">
        <v>4219</v>
      </c>
      <c r="E25" s="117">
        <v>3637</v>
      </c>
      <c r="F25" s="118"/>
      <c r="G25" s="119">
        <v>4487</v>
      </c>
      <c r="H25" s="120">
        <v>3639</v>
      </c>
      <c r="I25" s="117">
        <v>3639</v>
      </c>
      <c r="J25" s="118"/>
      <c r="K25" s="121"/>
      <c r="L25" s="116"/>
      <c r="M25" s="120">
        <v>3647</v>
      </c>
      <c r="N25" s="117">
        <v>3647</v>
      </c>
      <c r="O25" s="118"/>
      <c r="P25" s="116"/>
      <c r="Q25" s="120">
        <v>3647</v>
      </c>
      <c r="R25" s="117">
        <v>3647</v>
      </c>
      <c r="S25" s="118"/>
      <c r="T25" s="116"/>
      <c r="U25" s="120">
        <v>3647</v>
      </c>
      <c r="V25" s="117">
        <v>3647</v>
      </c>
      <c r="W25" s="118"/>
      <c r="X25" s="116"/>
      <c r="Y25" s="117">
        <v>3647</v>
      </c>
      <c r="Z25" s="118"/>
      <c r="AA25" s="116"/>
      <c r="AB25" s="120">
        <v>3647</v>
      </c>
      <c r="AC25" s="117">
        <v>3647</v>
      </c>
      <c r="AD25" s="118"/>
      <c r="AE25" s="116"/>
      <c r="AF25" s="120">
        <v>3647</v>
      </c>
      <c r="AG25" s="117">
        <v>3647</v>
      </c>
      <c r="AH25" s="118"/>
      <c r="AI25" s="116"/>
      <c r="AJ25" s="120">
        <v>3647</v>
      </c>
      <c r="AK25" s="117">
        <v>3647</v>
      </c>
      <c r="AL25" s="118"/>
      <c r="AM25" s="116"/>
      <c r="AN25" s="120">
        <v>3647</v>
      </c>
      <c r="AO25" s="117">
        <v>3647</v>
      </c>
      <c r="AP25" s="118"/>
      <c r="AQ25" s="116"/>
      <c r="AR25" s="120">
        <v>3647</v>
      </c>
      <c r="AS25" s="117">
        <v>3647</v>
      </c>
      <c r="AT25" s="118"/>
      <c r="AU25" s="116"/>
      <c r="AV25" s="120">
        <v>3647</v>
      </c>
      <c r="AW25" s="117">
        <v>3647</v>
      </c>
      <c r="AX25" s="118"/>
      <c r="AY25" s="238"/>
      <c r="AZ25" s="231"/>
      <c r="BA25" s="231"/>
      <c r="BB25" s="148">
        <f t="shared" si="0"/>
        <v>4117.666666666667</v>
      </c>
      <c r="BC25" s="149">
        <f t="shared" si="1"/>
        <v>3641</v>
      </c>
      <c r="BD25" s="150"/>
      <c r="BE25" s="150"/>
      <c r="BF25" s="123"/>
      <c r="BG25" s="123"/>
      <c r="BH25" s="123"/>
      <c r="BI25" s="123"/>
      <c r="BJ25" s="123"/>
      <c r="BK25" s="116" t="e">
        <f t="shared" si="14"/>
        <v>#DIV/0!</v>
      </c>
      <c r="BL25" s="149">
        <f>AVERAGE(N25,R25,BD25)</f>
        <v>3647</v>
      </c>
      <c r="BM25" s="150"/>
      <c r="BN25" s="150"/>
      <c r="BP25" s="148">
        <f t="shared" si="5"/>
        <v>3882.3333333333335</v>
      </c>
      <c r="BQ25" s="149" t="e">
        <f t="shared" si="6"/>
        <v>#DIV/0!</v>
      </c>
      <c r="BR25" s="150"/>
      <c r="BS25" s="150"/>
      <c r="BU25" s="148" t="e">
        <f t="shared" si="10"/>
        <v>#DIV/0!</v>
      </c>
      <c r="BV25" s="149" t="e">
        <f t="shared" si="11"/>
        <v>#DIV/0!</v>
      </c>
      <c r="BW25" s="150"/>
      <c r="BX25" s="150"/>
      <c r="BZ25" s="148">
        <f>AVERAGE(BI25,BL25,BR25)</f>
        <v>3647</v>
      </c>
      <c r="CA25" s="149" t="e">
        <f>AVERAGE(BJ25,BN25,BS25)</f>
        <v>#DIV/0!</v>
      </c>
      <c r="CB25" s="150"/>
      <c r="CC25" s="150"/>
    </row>
    <row r="26" spans="1:81" ht="24" hidden="1" thickBot="1">
      <c r="A26" s="145" t="s">
        <v>94</v>
      </c>
      <c r="B26" s="124" t="s">
        <v>86</v>
      </c>
      <c r="C26" s="124"/>
      <c r="D26" s="126"/>
      <c r="E26" s="127"/>
      <c r="F26" s="128"/>
      <c r="G26" s="129"/>
      <c r="H26" s="130"/>
      <c r="I26" s="127"/>
      <c r="J26" s="128"/>
      <c r="K26" s="131"/>
      <c r="L26" s="126"/>
      <c r="M26" s="130"/>
      <c r="N26" s="127"/>
      <c r="O26" s="128"/>
      <c r="P26" s="126"/>
      <c r="Q26" s="130"/>
      <c r="R26" s="127"/>
      <c r="S26" s="128"/>
      <c r="T26" s="126"/>
      <c r="U26" s="130"/>
      <c r="V26" s="127"/>
      <c r="W26" s="128"/>
      <c r="X26" s="126"/>
      <c r="Y26" s="127"/>
      <c r="Z26" s="128"/>
      <c r="AA26" s="126"/>
      <c r="AB26" s="130"/>
      <c r="AC26" s="127"/>
      <c r="AD26" s="128"/>
      <c r="AE26" s="126"/>
      <c r="AF26" s="130"/>
      <c r="AG26" s="127"/>
      <c r="AH26" s="128"/>
      <c r="AI26" s="126"/>
      <c r="AJ26" s="130"/>
      <c r="AK26" s="127"/>
      <c r="AL26" s="128"/>
      <c r="AM26" s="126"/>
      <c r="AN26" s="130"/>
      <c r="AO26" s="127"/>
      <c r="AP26" s="128"/>
      <c r="AQ26" s="126"/>
      <c r="AR26" s="130"/>
      <c r="AS26" s="127"/>
      <c r="AT26" s="128"/>
      <c r="AU26" s="126"/>
      <c r="AV26" s="130"/>
      <c r="AW26" s="127"/>
      <c r="AX26" s="128"/>
      <c r="AY26" s="239"/>
      <c r="AZ26" s="128"/>
      <c r="BA26" s="128"/>
      <c r="BB26" s="129"/>
      <c r="BC26" s="127"/>
      <c r="BD26" s="131"/>
      <c r="BE26" s="131"/>
      <c r="BF26" s="123"/>
      <c r="BG26" s="123"/>
      <c r="BH26" s="123"/>
      <c r="BI26" s="123"/>
      <c r="BJ26" s="123"/>
      <c r="BK26" s="116" t="e">
        <f t="shared" si="14"/>
        <v>#DIV/0!</v>
      </c>
      <c r="BL26" s="127"/>
      <c r="BM26" s="131"/>
      <c r="BN26" s="131"/>
      <c r="BP26" s="129"/>
      <c r="BQ26" s="127"/>
      <c r="BR26" s="131"/>
      <c r="BS26" s="131"/>
      <c r="BU26" s="129"/>
      <c r="BV26" s="127"/>
      <c r="BW26" s="131"/>
      <c r="BX26" s="131"/>
      <c r="BZ26" s="129"/>
      <c r="CA26" s="127"/>
      <c r="CB26" s="131"/>
      <c r="CC26" s="131"/>
    </row>
    <row r="27" spans="1:81" ht="24" hidden="1" thickBot="1">
      <c r="A27" s="146"/>
      <c r="B27" s="134" t="s">
        <v>87</v>
      </c>
      <c r="C27" s="134"/>
      <c r="D27" s="136"/>
      <c r="E27" s="137"/>
      <c r="F27" s="138"/>
      <c r="G27" s="139"/>
      <c r="H27" s="140"/>
      <c r="I27" s="137"/>
      <c r="J27" s="138"/>
      <c r="K27" s="141"/>
      <c r="L27" s="136"/>
      <c r="M27" s="140"/>
      <c r="N27" s="151"/>
      <c r="O27" s="138"/>
      <c r="P27" s="136"/>
      <c r="Q27" s="140"/>
      <c r="R27" s="151"/>
      <c r="S27" s="138"/>
      <c r="T27" s="136"/>
      <c r="U27" s="140"/>
      <c r="V27" s="151"/>
      <c r="W27" s="138"/>
      <c r="X27" s="136"/>
      <c r="Y27" s="151"/>
      <c r="Z27" s="138"/>
      <c r="AA27" s="136"/>
      <c r="AB27" s="140"/>
      <c r="AC27" s="151"/>
      <c r="AD27" s="138"/>
      <c r="AE27" s="136"/>
      <c r="AF27" s="140"/>
      <c r="AG27" s="151"/>
      <c r="AH27" s="138"/>
      <c r="AI27" s="136"/>
      <c r="AJ27" s="140"/>
      <c r="AK27" s="151"/>
      <c r="AL27" s="138"/>
      <c r="AM27" s="136"/>
      <c r="AN27" s="140"/>
      <c r="AO27" s="151"/>
      <c r="AP27" s="138"/>
      <c r="AQ27" s="136"/>
      <c r="AR27" s="140"/>
      <c r="AS27" s="151"/>
      <c r="AT27" s="138"/>
      <c r="AU27" s="136"/>
      <c r="AV27" s="140"/>
      <c r="AW27" s="151"/>
      <c r="AX27" s="138"/>
      <c r="AY27" s="240"/>
      <c r="AZ27" s="232"/>
      <c r="BA27" s="232"/>
      <c r="BB27" s="152"/>
      <c r="BC27" s="127"/>
      <c r="BD27" s="131"/>
      <c r="BE27" s="131"/>
      <c r="BF27" s="123"/>
      <c r="BG27" s="123"/>
      <c r="BH27" s="123"/>
      <c r="BI27" s="123"/>
      <c r="BJ27" s="123"/>
      <c r="BK27" s="116" t="e">
        <f t="shared" si="14"/>
        <v>#DIV/0!</v>
      </c>
      <c r="BL27" s="127"/>
      <c r="BM27" s="131"/>
      <c r="BN27" s="131"/>
      <c r="BP27" s="152"/>
      <c r="BQ27" s="127"/>
      <c r="BR27" s="131"/>
      <c r="BS27" s="131"/>
      <c r="BU27" s="152"/>
      <c r="BV27" s="127"/>
      <c r="BW27" s="131"/>
      <c r="BX27" s="131"/>
      <c r="BZ27" s="152"/>
      <c r="CA27" s="127"/>
      <c r="CB27" s="131"/>
      <c r="CC27" s="131"/>
    </row>
    <row r="28" spans="1:81" ht="24" hidden="1" thickBot="1">
      <c r="A28" s="259" t="s">
        <v>95</v>
      </c>
      <c r="B28" s="114" t="s">
        <v>85</v>
      </c>
      <c r="C28" s="114"/>
      <c r="D28" s="116">
        <v>325</v>
      </c>
      <c r="E28" s="117">
        <v>316</v>
      </c>
      <c r="F28" s="118"/>
      <c r="G28" s="119">
        <v>325</v>
      </c>
      <c r="H28" s="120">
        <v>341</v>
      </c>
      <c r="I28" s="117">
        <v>341</v>
      </c>
      <c r="J28" s="118"/>
      <c r="K28" s="121"/>
      <c r="L28" s="116"/>
      <c r="M28" s="120">
        <v>341</v>
      </c>
      <c r="N28" s="117">
        <v>341</v>
      </c>
      <c r="O28" s="118"/>
      <c r="P28" s="116"/>
      <c r="Q28" s="120">
        <v>341</v>
      </c>
      <c r="R28" s="117">
        <v>341</v>
      </c>
      <c r="S28" s="118"/>
      <c r="T28" s="116"/>
      <c r="U28" s="120">
        <v>341</v>
      </c>
      <c r="V28" s="117">
        <v>341</v>
      </c>
      <c r="W28" s="118"/>
      <c r="X28" s="116"/>
      <c r="Y28" s="117">
        <v>341</v>
      </c>
      <c r="Z28" s="118"/>
      <c r="AA28" s="116"/>
      <c r="AB28" s="120">
        <v>341</v>
      </c>
      <c r="AC28" s="117">
        <v>341</v>
      </c>
      <c r="AD28" s="118"/>
      <c r="AE28" s="116"/>
      <c r="AF28" s="120">
        <v>341</v>
      </c>
      <c r="AG28" s="117">
        <v>341</v>
      </c>
      <c r="AH28" s="118"/>
      <c r="AI28" s="116"/>
      <c r="AJ28" s="120">
        <v>341</v>
      </c>
      <c r="AK28" s="117">
        <v>341</v>
      </c>
      <c r="AL28" s="118"/>
      <c r="AM28" s="116"/>
      <c r="AN28" s="120">
        <v>341</v>
      </c>
      <c r="AO28" s="117">
        <v>341</v>
      </c>
      <c r="AP28" s="118"/>
      <c r="AQ28" s="116"/>
      <c r="AR28" s="120">
        <v>341</v>
      </c>
      <c r="AS28" s="117">
        <v>341</v>
      </c>
      <c r="AT28" s="118"/>
      <c r="AU28" s="116"/>
      <c r="AV28" s="120">
        <v>341</v>
      </c>
      <c r="AW28" s="117">
        <v>341</v>
      </c>
      <c r="AX28" s="118"/>
      <c r="AY28" s="238"/>
      <c r="AZ28" s="231"/>
      <c r="BA28" s="231"/>
      <c r="BB28" s="129">
        <f>AVERAGE(D28,G28,M28)</f>
        <v>330.3333333333333</v>
      </c>
      <c r="BC28" s="127">
        <f>AVERAGE(E28,I28,N28)</f>
        <v>332.6666666666667</v>
      </c>
      <c r="BD28" s="131"/>
      <c r="BE28" s="131"/>
      <c r="BF28" s="123"/>
      <c r="BG28" s="123"/>
      <c r="BH28" s="123"/>
      <c r="BI28" s="123"/>
      <c r="BJ28" s="123"/>
      <c r="BK28" s="116" t="e">
        <f t="shared" si="14"/>
        <v>#DIV/0!</v>
      </c>
      <c r="BL28" s="127">
        <f>AVERAGE(N28,R28,BD28)</f>
        <v>341</v>
      </c>
      <c r="BM28" s="131"/>
      <c r="BN28" s="131"/>
      <c r="BP28" s="129">
        <f>AVERAGE(R28,BB28,BH28)</f>
        <v>335.66666666666663</v>
      </c>
      <c r="BQ28" s="127" t="e">
        <f>AVERAGE(S28,BD28,BI28)</f>
        <v>#DIV/0!</v>
      </c>
      <c r="BR28" s="131"/>
      <c r="BS28" s="131"/>
      <c r="BU28" s="129" t="e">
        <f>AVERAGE(BD28,BG28,BM28)</f>
        <v>#DIV/0!</v>
      </c>
      <c r="BV28" s="127" t="e">
        <f>AVERAGE(BE28,BI28,BN28)</f>
        <v>#DIV/0!</v>
      </c>
      <c r="BW28" s="131"/>
      <c r="BX28" s="131"/>
      <c r="BZ28" s="129">
        <f>AVERAGE(BI28,BL28,BR28)</f>
        <v>341</v>
      </c>
      <c r="CA28" s="127" t="e">
        <f>AVERAGE(BJ28,BN28,BS28)</f>
        <v>#DIV/0!</v>
      </c>
      <c r="CB28" s="131"/>
      <c r="CC28" s="131"/>
    </row>
    <row r="29" spans="1:81" ht="24" hidden="1" thickBot="1">
      <c r="A29" s="259"/>
      <c r="B29" s="124" t="s">
        <v>86</v>
      </c>
      <c r="C29" s="124"/>
      <c r="D29" s="126"/>
      <c r="E29" s="127"/>
      <c r="F29" s="128"/>
      <c r="G29" s="129"/>
      <c r="H29" s="130"/>
      <c r="I29" s="127"/>
      <c r="J29" s="128"/>
      <c r="K29" s="131"/>
      <c r="L29" s="126"/>
      <c r="M29" s="130"/>
      <c r="N29" s="127"/>
      <c r="O29" s="128"/>
      <c r="P29" s="126"/>
      <c r="Q29" s="130"/>
      <c r="R29" s="127"/>
      <c r="S29" s="128"/>
      <c r="T29" s="126"/>
      <c r="U29" s="130"/>
      <c r="V29" s="127"/>
      <c r="W29" s="128"/>
      <c r="X29" s="126"/>
      <c r="Y29" s="127"/>
      <c r="Z29" s="128"/>
      <c r="AA29" s="126"/>
      <c r="AB29" s="130"/>
      <c r="AC29" s="127"/>
      <c r="AD29" s="128"/>
      <c r="AE29" s="126"/>
      <c r="AF29" s="130"/>
      <c r="AG29" s="127"/>
      <c r="AH29" s="128"/>
      <c r="AI29" s="126"/>
      <c r="AJ29" s="130"/>
      <c r="AK29" s="127"/>
      <c r="AL29" s="128"/>
      <c r="AM29" s="126"/>
      <c r="AN29" s="130"/>
      <c r="AO29" s="127"/>
      <c r="AP29" s="128"/>
      <c r="AQ29" s="126"/>
      <c r="AR29" s="130"/>
      <c r="AS29" s="127"/>
      <c r="AT29" s="128"/>
      <c r="AU29" s="126"/>
      <c r="AV29" s="130"/>
      <c r="AW29" s="127"/>
      <c r="AX29" s="128"/>
      <c r="AY29" s="239"/>
      <c r="AZ29" s="128"/>
      <c r="BA29" s="128"/>
      <c r="BB29" s="129"/>
      <c r="BC29" s="127"/>
      <c r="BD29" s="131"/>
      <c r="BE29" s="131"/>
      <c r="BF29" s="123"/>
      <c r="BG29" s="133"/>
      <c r="BH29" s="133"/>
      <c r="BI29" s="133"/>
      <c r="BJ29" s="133"/>
      <c r="BK29" s="116" t="e">
        <f t="shared" si="14"/>
        <v>#DIV/0!</v>
      </c>
      <c r="BL29" s="127"/>
      <c r="BM29" s="131"/>
      <c r="BN29" s="131"/>
      <c r="BP29" s="129"/>
      <c r="BQ29" s="127"/>
      <c r="BR29" s="131"/>
      <c r="BS29" s="131"/>
      <c r="BU29" s="129"/>
      <c r="BV29" s="127"/>
      <c r="BW29" s="131"/>
      <c r="BX29" s="131"/>
      <c r="BZ29" s="129"/>
      <c r="CA29" s="127"/>
      <c r="CB29" s="131"/>
      <c r="CC29" s="131"/>
    </row>
    <row r="30" spans="1:81" ht="24" hidden="1" thickBot="1">
      <c r="A30" s="260"/>
      <c r="B30" s="134" t="s">
        <v>87</v>
      </c>
      <c r="C30" s="134"/>
      <c r="D30" s="136"/>
      <c r="E30" s="137"/>
      <c r="F30" s="138"/>
      <c r="G30" s="139"/>
      <c r="H30" s="140"/>
      <c r="I30" s="137"/>
      <c r="J30" s="138"/>
      <c r="K30" s="141"/>
      <c r="L30" s="136"/>
      <c r="M30" s="140"/>
      <c r="N30" s="151"/>
      <c r="O30" s="138"/>
      <c r="P30" s="136"/>
      <c r="Q30" s="140"/>
      <c r="R30" s="151"/>
      <c r="S30" s="138"/>
      <c r="T30" s="136"/>
      <c r="U30" s="140"/>
      <c r="V30" s="151"/>
      <c r="W30" s="138"/>
      <c r="X30" s="136"/>
      <c r="Y30" s="151"/>
      <c r="Z30" s="138"/>
      <c r="AA30" s="136"/>
      <c r="AB30" s="140"/>
      <c r="AC30" s="151"/>
      <c r="AD30" s="138"/>
      <c r="AE30" s="136"/>
      <c r="AF30" s="140"/>
      <c r="AG30" s="151"/>
      <c r="AH30" s="138"/>
      <c r="AI30" s="136"/>
      <c r="AJ30" s="140"/>
      <c r="AK30" s="151"/>
      <c r="AL30" s="138"/>
      <c r="AM30" s="136"/>
      <c r="AN30" s="140"/>
      <c r="AO30" s="151"/>
      <c r="AP30" s="138"/>
      <c r="AQ30" s="136"/>
      <c r="AR30" s="140"/>
      <c r="AS30" s="151"/>
      <c r="AT30" s="138"/>
      <c r="AU30" s="136"/>
      <c r="AV30" s="140"/>
      <c r="AW30" s="151"/>
      <c r="AX30" s="138"/>
      <c r="AY30" s="240"/>
      <c r="AZ30" s="232"/>
      <c r="BA30" s="232"/>
      <c r="BB30" s="153"/>
      <c r="BC30" s="154"/>
      <c r="BD30" s="155"/>
      <c r="BE30" s="155"/>
      <c r="BF30" s="123"/>
      <c r="BG30" s="123"/>
      <c r="BH30" s="123"/>
      <c r="BI30" s="123"/>
      <c r="BJ30" s="123"/>
      <c r="BK30" s="116" t="e">
        <f t="shared" si="14"/>
        <v>#DIV/0!</v>
      </c>
      <c r="BL30" s="154"/>
      <c r="BM30" s="155"/>
      <c r="BN30" s="155"/>
      <c r="BP30" s="153"/>
      <c r="BQ30" s="154"/>
      <c r="BR30" s="155"/>
      <c r="BS30" s="155"/>
      <c r="BU30" s="153"/>
      <c r="BV30" s="154"/>
      <c r="BW30" s="155"/>
      <c r="BX30" s="155"/>
      <c r="BZ30" s="153"/>
      <c r="CA30" s="154"/>
      <c r="CB30" s="155"/>
      <c r="CC30" s="155"/>
    </row>
    <row r="31" spans="1:81" ht="23.25">
      <c r="A31" s="259" t="s">
        <v>196</v>
      </c>
      <c r="B31" s="114" t="s">
        <v>85</v>
      </c>
      <c r="C31" s="114"/>
      <c r="D31" s="116">
        <f>$B$42*E70</f>
        <v>96.57821137800478</v>
      </c>
      <c r="E31" s="117">
        <f>$B$49*E70</f>
        <v>93.27886582898094</v>
      </c>
      <c r="F31" s="118">
        <f>D31-E31</f>
        <v>3.2993455490238404</v>
      </c>
      <c r="G31" s="119">
        <f>$B$50*$E$70</f>
        <v>92.29485048979839</v>
      </c>
      <c r="H31" s="120">
        <v>45</v>
      </c>
      <c r="I31" s="117">
        <f>$B$46*E70</f>
        <v>87.77995658060787</v>
      </c>
      <c r="J31" s="118">
        <f>G31-I31</f>
        <v>4.514893909190519</v>
      </c>
      <c r="K31" s="121"/>
      <c r="L31" s="116">
        <f>B54*L70</f>
        <v>94.3854</v>
      </c>
      <c r="M31" s="120">
        <v>84</v>
      </c>
      <c r="N31" s="117">
        <f>$B$53*E70</f>
        <v>88.30090587782217</v>
      </c>
      <c r="O31" s="118">
        <f>L31-N31</f>
        <v>6.08449412217783</v>
      </c>
      <c r="P31" s="116">
        <f>B57*N70</f>
        <v>114.44959999999999</v>
      </c>
      <c r="Q31" s="120">
        <f>$B$59*B70</f>
        <v>97.78461874545019</v>
      </c>
      <c r="R31" s="117">
        <f>$B$58*E70</f>
        <v>99.87755692702862</v>
      </c>
      <c r="S31" s="118">
        <f>P31-R31</f>
        <v>14.572043072971368</v>
      </c>
      <c r="T31" s="116">
        <f>B60*O70</f>
        <v>96.9664</v>
      </c>
      <c r="U31" s="120">
        <v>84</v>
      </c>
      <c r="V31" s="117">
        <f>$B$61*E70</f>
        <v>89.80587051421901</v>
      </c>
      <c r="W31" s="118">
        <f>T31-V31</f>
        <v>7.160529485780984</v>
      </c>
      <c r="X31" s="116">
        <f>B72*P70</f>
        <v>89.7654</v>
      </c>
      <c r="Y31" s="117">
        <f>$B$62*E70</f>
        <v>91.48448491635394</v>
      </c>
      <c r="Z31" s="118">
        <f>X31-Y31</f>
        <v>-1.7190849163539355</v>
      </c>
      <c r="AA31" s="116"/>
      <c r="AB31" s="120">
        <v>84</v>
      </c>
      <c r="AC31" s="117">
        <f>$B$53*R72</f>
        <v>0</v>
      </c>
      <c r="AD31" s="118">
        <f>AA31-AC31</f>
        <v>0</v>
      </c>
      <c r="AE31" s="116"/>
      <c r="AF31" s="120">
        <v>84</v>
      </c>
      <c r="AG31" s="117">
        <f>$B$53*V72</f>
        <v>0</v>
      </c>
      <c r="AH31" s="118">
        <f>AE31-AG31</f>
        <v>0</v>
      </c>
      <c r="AI31" s="116"/>
      <c r="AJ31" s="120">
        <v>84</v>
      </c>
      <c r="AK31" s="117">
        <f>$B$53*Y72</f>
        <v>0</v>
      </c>
      <c r="AL31" s="118">
        <f>AI31-AK31</f>
        <v>0</v>
      </c>
      <c r="AM31" s="116"/>
      <c r="AN31" s="120">
        <v>84</v>
      </c>
      <c r="AO31" s="117">
        <f>$B$53*AC72</f>
        <v>0</v>
      </c>
      <c r="AP31" s="118">
        <f>AM31-AO31</f>
        <v>0</v>
      </c>
      <c r="AQ31" s="116"/>
      <c r="AR31" s="120">
        <v>84</v>
      </c>
      <c r="AS31" s="117">
        <f>$B$53*AG72</f>
        <v>0</v>
      </c>
      <c r="AT31" s="118">
        <f>AQ31-AS31</f>
        <v>0</v>
      </c>
      <c r="AU31" s="116"/>
      <c r="AV31" s="120">
        <v>84</v>
      </c>
      <c r="AW31" s="117">
        <f>$B$53*AK72</f>
        <v>0</v>
      </c>
      <c r="AX31" s="118">
        <f>AU31-AW31</f>
        <v>0</v>
      </c>
      <c r="AY31" s="241"/>
      <c r="AZ31" s="233">
        <f>B84*E70</f>
        <v>101.44040481867148</v>
      </c>
      <c r="BA31" s="233"/>
      <c r="BB31" s="126">
        <f>AVERAGE(D31,G31,M31)</f>
        <v>90.95768728926772</v>
      </c>
      <c r="BC31" s="117">
        <f>AVERAGE(E31,I31,N31)</f>
        <v>89.78657609580365</v>
      </c>
      <c r="BD31" s="122">
        <f>BB31</f>
        <v>90.95768728926772</v>
      </c>
      <c r="BE31" s="122">
        <f aca="true" t="shared" si="15" ref="BE31:BE36">+BD31-BB31</f>
        <v>0</v>
      </c>
      <c r="BF31" s="144"/>
      <c r="BG31" s="123"/>
      <c r="BH31" s="123"/>
      <c r="BI31" s="123"/>
      <c r="BJ31" s="123"/>
      <c r="BK31" s="116">
        <f t="shared" si="14"/>
        <v>100.3938</v>
      </c>
      <c r="BL31" s="117">
        <f>AVERAGE(R31,V31,Y31)</f>
        <v>93.72263745253385</v>
      </c>
      <c r="BM31" s="122">
        <f>BK31</f>
        <v>100.3938</v>
      </c>
      <c r="BN31" s="122">
        <f aca="true" t="shared" si="16" ref="BN31:BN36">+BM31-BK31</f>
        <v>0</v>
      </c>
      <c r="BP31" s="126">
        <f>AVERAGE(R31,BB31,BH31)</f>
        <v>95.41762210814818</v>
      </c>
      <c r="BQ31" s="117">
        <f>AVERAGE(S31,BD31,BI31)</f>
        <v>52.764865181119546</v>
      </c>
      <c r="BR31" s="122">
        <f>BP31</f>
        <v>95.41762210814818</v>
      </c>
      <c r="BS31" s="122">
        <f aca="true" t="shared" si="17" ref="BS31:BS36">+BR31-BP31</f>
        <v>0</v>
      </c>
      <c r="BU31" s="126">
        <f>AVERAGE(BD31,BG31,BM31)</f>
        <v>95.67574364463385</v>
      </c>
      <c r="BV31" s="117">
        <f>AVERAGE(BE31,BI31,BN31)</f>
        <v>0</v>
      </c>
      <c r="BW31" s="122">
        <f>BU31</f>
        <v>95.67574364463385</v>
      </c>
      <c r="BX31" s="122">
        <f aca="true" t="shared" si="18" ref="BX31:BX36">+BW31-BU31</f>
        <v>0</v>
      </c>
      <c r="BZ31" s="116">
        <f aca="true" t="shared" si="19" ref="BZ31:CA33">AVERAGE(BB31,BK31)</f>
        <v>95.67574364463385</v>
      </c>
      <c r="CA31" s="117">
        <f t="shared" si="19"/>
        <v>91.75460677416875</v>
      </c>
      <c r="CB31" s="122">
        <f>BZ31</f>
        <v>95.67574364463385</v>
      </c>
      <c r="CC31" s="122">
        <f aca="true" t="shared" si="20" ref="CC31:CC36">+CB31-BZ31</f>
        <v>0</v>
      </c>
    </row>
    <row r="32" spans="1:81" ht="23.25">
      <c r="A32" s="259"/>
      <c r="B32" s="124" t="s">
        <v>86</v>
      </c>
      <c r="C32" s="124"/>
      <c r="D32" s="126">
        <v>16</v>
      </c>
      <c r="E32" s="127">
        <f>15+2</f>
        <v>17</v>
      </c>
      <c r="F32" s="128">
        <f>E32-D32</f>
        <v>1</v>
      </c>
      <c r="G32" s="129">
        <v>15</v>
      </c>
      <c r="H32" s="130"/>
      <c r="I32" s="127">
        <v>17</v>
      </c>
      <c r="J32" s="128">
        <f>I32-G32</f>
        <v>2</v>
      </c>
      <c r="K32" s="131"/>
      <c r="L32" s="126">
        <v>17</v>
      </c>
      <c r="M32" s="130">
        <v>17</v>
      </c>
      <c r="N32" s="127">
        <v>17</v>
      </c>
      <c r="O32" s="128">
        <f>N32-L32</f>
        <v>0</v>
      </c>
      <c r="P32" s="126">
        <v>15</v>
      </c>
      <c r="Q32" s="130">
        <v>17</v>
      </c>
      <c r="R32" s="127">
        <v>17</v>
      </c>
      <c r="S32" s="128">
        <f>R32-P32</f>
        <v>2</v>
      </c>
      <c r="T32" s="126">
        <v>16</v>
      </c>
      <c r="U32" s="130">
        <v>17</v>
      </c>
      <c r="V32" s="127">
        <v>17</v>
      </c>
      <c r="W32" s="128">
        <f>V32-T32</f>
        <v>1</v>
      </c>
      <c r="X32" s="126">
        <v>16</v>
      </c>
      <c r="Y32" s="127">
        <v>17</v>
      </c>
      <c r="Z32" s="128">
        <f>Y32-X32</f>
        <v>1</v>
      </c>
      <c r="AA32" s="126"/>
      <c r="AB32" s="130">
        <v>17</v>
      </c>
      <c r="AC32" s="127">
        <v>17</v>
      </c>
      <c r="AD32" s="128">
        <f>AC32-AA32</f>
        <v>17</v>
      </c>
      <c r="AE32" s="126"/>
      <c r="AF32" s="130">
        <v>17</v>
      </c>
      <c r="AG32" s="127">
        <v>17</v>
      </c>
      <c r="AH32" s="128">
        <f>AG32-AE32</f>
        <v>17</v>
      </c>
      <c r="AI32" s="126"/>
      <c r="AJ32" s="130">
        <v>17</v>
      </c>
      <c r="AK32" s="127">
        <v>17</v>
      </c>
      <c r="AL32" s="128">
        <f>AK32-AI32</f>
        <v>17</v>
      </c>
      <c r="AM32" s="126"/>
      <c r="AN32" s="130">
        <v>17</v>
      </c>
      <c r="AO32" s="127">
        <v>17</v>
      </c>
      <c r="AP32" s="128">
        <f>AO32-AM32</f>
        <v>17</v>
      </c>
      <c r="AQ32" s="126"/>
      <c r="AR32" s="130">
        <v>17</v>
      </c>
      <c r="AS32" s="127">
        <v>17</v>
      </c>
      <c r="AT32" s="128">
        <f>AS32-AQ32</f>
        <v>17</v>
      </c>
      <c r="AU32" s="126"/>
      <c r="AV32" s="130">
        <v>17</v>
      </c>
      <c r="AW32" s="127">
        <v>17</v>
      </c>
      <c r="AX32" s="128">
        <f>AW32-AU32</f>
        <v>17</v>
      </c>
      <c r="AY32" s="236"/>
      <c r="AZ32" s="229">
        <f>14+2</f>
        <v>16</v>
      </c>
      <c r="BA32" s="229"/>
      <c r="BB32" s="126">
        <f>AVERAGE(D32,G32,M32)</f>
        <v>16</v>
      </c>
      <c r="BC32" s="127">
        <f>AVERAGE(E32,I32,N32)</f>
        <v>17</v>
      </c>
      <c r="BD32" s="132">
        <f>+BD31/BD33</f>
        <v>17.22173571100034</v>
      </c>
      <c r="BE32" s="132">
        <f t="shared" si="15"/>
        <v>1.2217357110003384</v>
      </c>
      <c r="BF32" s="144"/>
      <c r="BG32" s="133"/>
      <c r="BH32" s="133"/>
      <c r="BI32" s="133"/>
      <c r="BJ32" s="133"/>
      <c r="BK32" s="126">
        <f t="shared" si="14"/>
        <v>15.666666666666666</v>
      </c>
      <c r="BL32" s="127">
        <f>AVERAGE(R32,V32,Y32)</f>
        <v>17</v>
      </c>
      <c r="BM32" s="132">
        <f>+BM31/BM33</f>
        <v>18.21005731794905</v>
      </c>
      <c r="BN32" s="132">
        <f t="shared" si="16"/>
        <v>2.543390651282385</v>
      </c>
      <c r="BP32" s="126">
        <f>AVERAGE(R32,BB32,BH32)</f>
        <v>16.5</v>
      </c>
      <c r="BQ32" s="127">
        <f>AVERAGE(S32,BD32,BI32)</f>
        <v>9.61086785550017</v>
      </c>
      <c r="BR32" s="132">
        <f>+BR31/BR33</f>
        <v>27.12120086893582</v>
      </c>
      <c r="BS32" s="132">
        <f t="shared" si="17"/>
        <v>10.62120086893582</v>
      </c>
      <c r="BU32" s="126">
        <f>AVERAGE(BD32,BG32,BM32)</f>
        <v>17.715896514474693</v>
      </c>
      <c r="BV32" s="127">
        <f>AVERAGE(BE32,BI32,BN32)</f>
        <v>1.8825631811413617</v>
      </c>
      <c r="BW32" s="132">
        <f>+BW31/BW33</f>
        <v>-141.84562838809757</v>
      </c>
      <c r="BX32" s="132">
        <f t="shared" si="18"/>
        <v>-159.56152490257227</v>
      </c>
      <c r="BZ32" s="126">
        <f t="shared" si="19"/>
        <v>15.833333333333332</v>
      </c>
      <c r="CA32" s="127">
        <f t="shared" si="19"/>
        <v>17</v>
      </c>
      <c r="CB32" s="132">
        <f>+CB31/CB33</f>
        <v>17.726495694782628</v>
      </c>
      <c r="CC32" s="132">
        <f t="shared" si="20"/>
        <v>1.8931623614492956</v>
      </c>
    </row>
    <row r="33" spans="1:81" ht="24" thickBot="1">
      <c r="A33" s="260"/>
      <c r="B33" s="134" t="s">
        <v>87</v>
      </c>
      <c r="C33" s="134"/>
      <c r="D33" s="156">
        <f>D31/D32</f>
        <v>6.036138211125299</v>
      </c>
      <c r="E33" s="137">
        <f>E31/E32</f>
        <v>5.486992107587114</v>
      </c>
      <c r="F33" s="138">
        <f>D33-E33</f>
        <v>0.5491461035381846</v>
      </c>
      <c r="G33" s="139">
        <f>G31/G32</f>
        <v>6.152990032653226</v>
      </c>
      <c r="H33" s="140"/>
      <c r="I33" s="137">
        <f>I31/I32</f>
        <v>5.163526857682816</v>
      </c>
      <c r="J33" s="138">
        <f>G33-I33</f>
        <v>0.9894631749704095</v>
      </c>
      <c r="K33" s="141"/>
      <c r="L33" s="156">
        <f>L31/L32</f>
        <v>5.552082352941177</v>
      </c>
      <c r="M33" s="142">
        <f>M31/M32</f>
        <v>4.9411764705882355</v>
      </c>
      <c r="N33" s="137">
        <f>N31/N32</f>
        <v>5.19417093398954</v>
      </c>
      <c r="O33" s="138">
        <f>L33-N33</f>
        <v>0.35791141895163747</v>
      </c>
      <c r="P33" s="156">
        <f>P31/P32</f>
        <v>7.629973333333333</v>
      </c>
      <c r="Q33" s="142">
        <f>Q31/Q32</f>
        <v>5.752036396791188</v>
      </c>
      <c r="R33" s="137">
        <f>R31/R32</f>
        <v>5.875150407472272</v>
      </c>
      <c r="S33" s="138">
        <f>P33-R33</f>
        <v>1.7548229258610615</v>
      </c>
      <c r="T33" s="156">
        <f>T31/T32</f>
        <v>6.0604</v>
      </c>
      <c r="U33" s="142">
        <f>U31/U32</f>
        <v>4.9411764705882355</v>
      </c>
      <c r="V33" s="137">
        <f>V31/V32</f>
        <v>5.282698265542295</v>
      </c>
      <c r="W33" s="138">
        <f>T33-V33</f>
        <v>0.7777017344577049</v>
      </c>
      <c r="X33" s="156">
        <f>X31/X32</f>
        <v>5.6103375</v>
      </c>
      <c r="Y33" s="137">
        <f>Y31/Y32</f>
        <v>5.381440289197291</v>
      </c>
      <c r="Z33" s="138">
        <f>X33-Y33</f>
        <v>0.22889721080270942</v>
      </c>
      <c r="AA33" s="156"/>
      <c r="AB33" s="142">
        <f>AB31/AB32</f>
        <v>4.9411764705882355</v>
      </c>
      <c r="AC33" s="137">
        <f>AC31/AC32</f>
        <v>0</v>
      </c>
      <c r="AD33" s="138">
        <f>AA33-AC33</f>
        <v>0</v>
      </c>
      <c r="AE33" s="156"/>
      <c r="AF33" s="142">
        <f>AF31/AF32</f>
        <v>4.9411764705882355</v>
      </c>
      <c r="AG33" s="137">
        <f>AG31/AG32</f>
        <v>0</v>
      </c>
      <c r="AH33" s="138">
        <f>AE33-AG33</f>
        <v>0</v>
      </c>
      <c r="AI33" s="156"/>
      <c r="AJ33" s="142">
        <f>AJ31/AJ32</f>
        <v>4.9411764705882355</v>
      </c>
      <c r="AK33" s="137">
        <f>AK31/AK32</f>
        <v>0</v>
      </c>
      <c r="AL33" s="138">
        <f>AI33-AK33</f>
        <v>0</v>
      </c>
      <c r="AM33" s="156"/>
      <c r="AN33" s="142">
        <f>AN31/AN32</f>
        <v>4.9411764705882355</v>
      </c>
      <c r="AO33" s="137">
        <f>AO31/AO32</f>
        <v>0</v>
      </c>
      <c r="AP33" s="138">
        <f>AM33-AO33</f>
        <v>0</v>
      </c>
      <c r="AQ33" s="156"/>
      <c r="AR33" s="142">
        <f>AR31/AR32</f>
        <v>4.9411764705882355</v>
      </c>
      <c r="AS33" s="137">
        <f>AS31/AS32</f>
        <v>0</v>
      </c>
      <c r="AT33" s="138">
        <f>AQ33-AS33</f>
        <v>0</v>
      </c>
      <c r="AU33" s="156"/>
      <c r="AV33" s="142">
        <f>AV31/AV32</f>
        <v>4.9411764705882355</v>
      </c>
      <c r="AW33" s="137">
        <f>AW31/AW32</f>
        <v>0</v>
      </c>
      <c r="AX33" s="138">
        <f>AU33-AW33</f>
        <v>0</v>
      </c>
      <c r="AY33" s="237"/>
      <c r="AZ33" s="230">
        <f>AZ31/AZ32</f>
        <v>6.340025301166968</v>
      </c>
      <c r="BA33" s="230"/>
      <c r="BB33" s="136">
        <f>AVERAGE(D33,G33,M33)</f>
        <v>5.710101571455586</v>
      </c>
      <c r="BC33" s="137">
        <f>AVERAGE(E33,I33,N33)</f>
        <v>5.281563299753157</v>
      </c>
      <c r="BD33" s="143">
        <f>BC33</f>
        <v>5.281563299753157</v>
      </c>
      <c r="BE33" s="143">
        <f t="shared" si="15"/>
        <v>-0.4285382717024291</v>
      </c>
      <c r="BF33" s="144"/>
      <c r="BG33" s="123"/>
      <c r="BH33" s="123"/>
      <c r="BI33" s="123"/>
      <c r="BJ33" s="123"/>
      <c r="BK33" s="136">
        <f t="shared" si="14"/>
        <v>6.433570277777778</v>
      </c>
      <c r="BL33" s="137">
        <f>AVERAGE(R33,V33,Y33)</f>
        <v>5.513096320737286</v>
      </c>
      <c r="BM33" s="143">
        <f>BL33</f>
        <v>5.513096320737286</v>
      </c>
      <c r="BN33" s="143">
        <f t="shared" si="16"/>
        <v>-0.9204739570404925</v>
      </c>
      <c r="BP33" s="136">
        <f>AVERAGE(R33,BB33,BH33)</f>
        <v>5.792625989463929</v>
      </c>
      <c r="BQ33" s="137">
        <f>AVERAGE(S33,BD33,BI33)</f>
        <v>3.518193112807109</v>
      </c>
      <c r="BR33" s="143">
        <f>BQ33</f>
        <v>3.518193112807109</v>
      </c>
      <c r="BS33" s="143">
        <f t="shared" si="17"/>
        <v>-2.2744328766568196</v>
      </c>
      <c r="BU33" s="136">
        <f>AVERAGE(BD33,BG33,BM33)</f>
        <v>5.397329810245221</v>
      </c>
      <c r="BV33" s="137">
        <f>AVERAGE(BE33,BI33,BN33)</f>
        <v>-0.6745061143714608</v>
      </c>
      <c r="BW33" s="143">
        <f>BV33</f>
        <v>-0.6745061143714608</v>
      </c>
      <c r="BX33" s="143">
        <f t="shared" si="18"/>
        <v>-6.071835924616682</v>
      </c>
      <c r="BZ33" s="136">
        <f t="shared" si="19"/>
        <v>6.071835924616682</v>
      </c>
      <c r="CA33" s="137">
        <f t="shared" si="19"/>
        <v>5.397329810245221</v>
      </c>
      <c r="CB33" s="143">
        <f>CA33</f>
        <v>5.397329810245221</v>
      </c>
      <c r="CC33" s="143">
        <f t="shared" si="20"/>
        <v>-0.6745061143714608</v>
      </c>
    </row>
    <row r="34" spans="1:81" ht="23.25">
      <c r="A34" s="259" t="s">
        <v>0</v>
      </c>
      <c r="B34" s="114" t="s">
        <v>85</v>
      </c>
      <c r="C34" s="114"/>
      <c r="D34" s="157">
        <f>SUM(D4,D7,D10,D13,D16,D19,D22,D31)</f>
        <v>3337.0000000000005</v>
      </c>
      <c r="E34" s="158">
        <f>SUM(E4,E7,E10,E13,E16,E19,E22,E31)</f>
        <v>3223</v>
      </c>
      <c r="F34" s="118">
        <f>D34-E34</f>
        <v>114.00000000000045</v>
      </c>
      <c r="G34" s="157">
        <f>SUM(G4,G7,G10,G13,G16,G19,G22,G31)</f>
        <v>3188.9999999999995</v>
      </c>
      <c r="H34" s="120">
        <v>45</v>
      </c>
      <c r="I34" s="158">
        <f>SUM(I4,I7,I10,I13,I16,I19,I22,I31)</f>
        <v>3032.9999999999995</v>
      </c>
      <c r="J34" s="118">
        <f>G34-I34</f>
        <v>156</v>
      </c>
      <c r="K34" s="121"/>
      <c r="L34" s="157">
        <f aca="true" t="shared" si="21" ref="L34:N35">SUM(L4,L7,L10,L13,L16,L19,L22,L31)</f>
        <v>3347</v>
      </c>
      <c r="M34" s="159">
        <f t="shared" si="21"/>
        <v>2904.555102524938</v>
      </c>
      <c r="N34" s="158">
        <f t="shared" si="21"/>
        <v>3050.9999999999995</v>
      </c>
      <c r="O34" s="118">
        <f>L34-N34</f>
        <v>296.00000000000045</v>
      </c>
      <c r="P34" s="157">
        <f aca="true" t="shared" si="22" ref="P34:R35">SUM(P4,P7,P10,P13,P16,P19,P22,P31)</f>
        <v>3727.999999999999</v>
      </c>
      <c r="Q34" s="159">
        <f t="shared" si="22"/>
        <v>3442.534528366224</v>
      </c>
      <c r="R34" s="158">
        <f t="shared" si="22"/>
        <v>3450.9999999999995</v>
      </c>
      <c r="S34" s="118">
        <f>P34-R34</f>
        <v>276.99999999999955</v>
      </c>
      <c r="T34" s="157">
        <f aca="true" t="shared" si="23" ref="T34:V35">SUM(T4,T7,T10,T13,T16,T19,T22,T31)</f>
        <v>3488</v>
      </c>
      <c r="U34" s="159">
        <f t="shared" si="23"/>
        <v>2120</v>
      </c>
      <c r="V34" s="158">
        <f t="shared" si="23"/>
        <v>3103</v>
      </c>
      <c r="W34" s="118">
        <f>T34-V34</f>
        <v>385</v>
      </c>
      <c r="X34" s="157">
        <f>SUM(X4,X7,X10,X13,X16,X19,X22,X31)</f>
        <v>3362.3361999999997</v>
      </c>
      <c r="Y34" s="158">
        <f>SUM(Y4,Y7,Y10,Y13,Y16,Y19,Y22,Y31)</f>
        <v>3160.9999999999995</v>
      </c>
      <c r="Z34" s="118">
        <f>X34-Y34</f>
        <v>201.3362000000002</v>
      </c>
      <c r="AA34" s="157"/>
      <c r="AB34" s="159">
        <f>SUM(AB4,AB7,AB10,AB13,AB16,AB19,AB22,AB31)</f>
        <v>2120</v>
      </c>
      <c r="AC34" s="158">
        <f>SUM(AC4,AC7,AC10,AC13,AC16,AC19,AC22,AC31)</f>
        <v>0</v>
      </c>
      <c r="AD34" s="118">
        <f>AA34-AC34</f>
        <v>0</v>
      </c>
      <c r="AE34" s="157"/>
      <c r="AF34" s="159">
        <f>SUM(AF4,AF7,AF10,AF13,AF16,AF19,AF22,AF31)</f>
        <v>2120</v>
      </c>
      <c r="AG34" s="158">
        <f>SUM(AG4,AG7,AG10,AG13,AG16,AG19,AG22,AG31)</f>
        <v>0</v>
      </c>
      <c r="AH34" s="118">
        <f>AE34-AG34</f>
        <v>0</v>
      </c>
      <c r="AI34" s="157"/>
      <c r="AJ34" s="159">
        <f>SUM(AJ4,AJ7,AJ10,AJ13,AJ16,AJ19,AJ22,AJ31)</f>
        <v>2120</v>
      </c>
      <c r="AK34" s="158">
        <f>SUM(AK4,AK7,AK10,AK13,AK16,AK19,AK22,AK31)</f>
        <v>0</v>
      </c>
      <c r="AL34" s="118">
        <f>AI34-AK34</f>
        <v>0</v>
      </c>
      <c r="AM34" s="157"/>
      <c r="AN34" s="159">
        <f>SUM(AN4,AN7,AN10,AN13,AN16,AN19,AN22,AN31)</f>
        <v>2120</v>
      </c>
      <c r="AO34" s="158">
        <f>SUM(AO4,AO7,AO10,AO13,AO16,AO19,AO22,AO31)</f>
        <v>0</v>
      </c>
      <c r="AP34" s="118">
        <f>AM34-AO34</f>
        <v>0</v>
      </c>
      <c r="AQ34" s="157"/>
      <c r="AR34" s="159">
        <f>SUM(AR4,AR7,AR10,AR13,AR16,AR19,AR22,AR31)</f>
        <v>2120</v>
      </c>
      <c r="AS34" s="158">
        <f>SUM(AS4,AS7,AS10,AS13,AS16,AS19,AS22,AS31)</f>
        <v>0</v>
      </c>
      <c r="AT34" s="118">
        <f>AQ34-AS34</f>
        <v>0</v>
      </c>
      <c r="AU34" s="157"/>
      <c r="AV34" s="159">
        <f>SUM(AV4,AV7,AV10,AV13,AV16,AV19,AV22,AV31)</f>
        <v>2120</v>
      </c>
      <c r="AW34" s="158">
        <f>SUM(AW4,AW7,AW10,AW13,AW16,AW19,AW22,AW31)</f>
        <v>0</v>
      </c>
      <c r="AX34" s="118">
        <f>AU34-AW34</f>
        <v>0</v>
      </c>
      <c r="AY34" s="235"/>
      <c r="AZ34" s="228">
        <f>AZ4+AZ7+AZ10+AZ13+AZ16+AZ19+AZ22+AZ31</f>
        <v>3505</v>
      </c>
      <c r="BA34" s="228"/>
      <c r="BB34" s="116">
        <f>SUM(BB4,BB7,BB10,BB13,BB16,BB19,BB22,BB31)</f>
        <v>3143.5183675083117</v>
      </c>
      <c r="BC34" s="160">
        <f>SUM(BC4,BC7,BC10,BC13,BC16,BC19,BC22,BC31)</f>
        <v>3102.3333333333335</v>
      </c>
      <c r="BD34" s="122">
        <f>BB34</f>
        <v>3143.5183675083117</v>
      </c>
      <c r="BE34" s="122">
        <f t="shared" si="15"/>
        <v>0</v>
      </c>
      <c r="BF34" s="161"/>
      <c r="BG34" s="161"/>
      <c r="BH34" s="161"/>
      <c r="BI34" s="161"/>
      <c r="BJ34" s="161"/>
      <c r="BK34" s="116">
        <f t="shared" si="14"/>
        <v>3526.112066666666</v>
      </c>
      <c r="BL34" s="160">
        <f>SUM(BL4,BL7,BL10,BL13,BL16,BL19,BL22,BL31)</f>
        <v>3238.3333333333335</v>
      </c>
      <c r="BM34" s="122">
        <f>BK34</f>
        <v>3526.112066666666</v>
      </c>
      <c r="BN34" s="122">
        <f t="shared" si="16"/>
        <v>0</v>
      </c>
      <c r="BP34" s="116">
        <f>SUM(BP4,BP7,BP10,BP13,BP16,BP19,BP22,BP31)</f>
        <v>3297.259183754156</v>
      </c>
      <c r="BQ34" s="160">
        <f>SUM(BQ4,BQ7,BQ10,BQ13,BQ16,BQ19,BQ22,BQ31)</f>
        <v>1710.2591837541563</v>
      </c>
      <c r="BR34" s="122">
        <f>BP34</f>
        <v>3297.259183754156</v>
      </c>
      <c r="BS34" s="122">
        <f t="shared" si="17"/>
        <v>0</v>
      </c>
      <c r="BU34" s="116">
        <f>SUM(BU4,BU7,BU10,BU13,BU16,BU19,BU22,BU31)</f>
        <v>3334.815217087489</v>
      </c>
      <c r="BV34" s="160">
        <f>SUM(BV4,BV7,BV10,BV13,BV16,BV19,BV22,BV31)</f>
        <v>0</v>
      </c>
      <c r="BW34" s="122">
        <f>BU34</f>
        <v>3334.815217087489</v>
      </c>
      <c r="BX34" s="122">
        <f t="shared" si="18"/>
        <v>0</v>
      </c>
      <c r="BZ34" s="116">
        <f>SUM(BZ4,BZ7,BZ10,BZ13,BZ16,BZ19,BZ22,BZ31)</f>
        <v>3334.815217087489</v>
      </c>
      <c r="CA34" s="160">
        <f>SUM(CA4,CA7,CA10,CA13,CA16,CA19,CA22,CA31)</f>
        <v>3170.3333333333335</v>
      </c>
      <c r="CB34" s="122">
        <f>BZ34</f>
        <v>3334.815217087489</v>
      </c>
      <c r="CC34" s="122">
        <f t="shared" si="20"/>
        <v>0</v>
      </c>
    </row>
    <row r="35" spans="1:81" ht="23.25">
      <c r="A35" s="259"/>
      <c r="B35" s="124" t="s">
        <v>86</v>
      </c>
      <c r="C35" s="124"/>
      <c r="D35" s="215">
        <f>SUM(D5,D8,D11,D14,D17,D20,D23,D32)</f>
        <v>427</v>
      </c>
      <c r="E35" s="164">
        <f>SUM(E5,E8,E11,E14,E17,E20,E23,E32)</f>
        <v>429</v>
      </c>
      <c r="F35" s="128">
        <f>E35-D35</f>
        <v>2</v>
      </c>
      <c r="G35" s="215">
        <f>SUM(G5,G8,G11,G14,G17,G20,G23,G32)</f>
        <v>431</v>
      </c>
      <c r="H35" s="130"/>
      <c r="I35" s="164">
        <f>SUM(I5,I8,I11,I14,I17,I20,I23,I32)</f>
        <v>436</v>
      </c>
      <c r="J35" s="128">
        <f>I35-G35</f>
        <v>5</v>
      </c>
      <c r="K35" s="131"/>
      <c r="L35" s="215">
        <f t="shared" si="21"/>
        <v>428</v>
      </c>
      <c r="M35" s="165">
        <f t="shared" si="21"/>
        <v>437</v>
      </c>
      <c r="N35" s="164">
        <f t="shared" si="21"/>
        <v>434</v>
      </c>
      <c r="O35" s="128">
        <f>N35-L35</f>
        <v>6</v>
      </c>
      <c r="P35" s="215">
        <f>SUM(P5,P8,P11,P14,P17,P20,P23,P32)</f>
        <v>435</v>
      </c>
      <c r="Q35" s="165">
        <f t="shared" si="22"/>
        <v>435</v>
      </c>
      <c r="R35" s="164">
        <f t="shared" si="22"/>
        <v>430</v>
      </c>
      <c r="S35" s="128">
        <f>R35-P35</f>
        <v>-5</v>
      </c>
      <c r="T35" s="215">
        <f t="shared" si="23"/>
        <v>437</v>
      </c>
      <c r="U35" s="165">
        <f t="shared" si="23"/>
        <v>437</v>
      </c>
      <c r="V35" s="164">
        <f t="shared" si="23"/>
        <v>425</v>
      </c>
      <c r="W35" s="128">
        <f>V35-T35</f>
        <v>-12</v>
      </c>
      <c r="X35" s="215">
        <f>X5+X8+X11+X14+X17+X20+X23+X32</f>
        <v>445</v>
      </c>
      <c r="Y35" s="164">
        <f>SUM(Y5,Y8,Y11,Y14,Y17,Y20,Y23,Y32)</f>
        <v>422</v>
      </c>
      <c r="Z35" s="128">
        <f>Y35-X35</f>
        <v>-23</v>
      </c>
      <c r="AA35" s="162"/>
      <c r="AB35" s="165">
        <f>SUM(AB5,AB8,AB11,AB14,AB17,AB20,AB23,AB32)</f>
        <v>437</v>
      </c>
      <c r="AC35" s="164">
        <f>SUM(AC5,AC8,AC11,AC14,AC17,AC20,AC23,AC32)</f>
        <v>437</v>
      </c>
      <c r="AD35" s="128">
        <f>AC35-AA35</f>
        <v>437</v>
      </c>
      <c r="AE35" s="162"/>
      <c r="AF35" s="165">
        <f>SUM(AF5,AF8,AF11,AF14,AF17,AF20,AF23,AF32)</f>
        <v>437</v>
      </c>
      <c r="AG35" s="164">
        <f>SUM(AG5,AG8,AG11,AG14,AG17,AG20,AG23,AG32)</f>
        <v>437</v>
      </c>
      <c r="AH35" s="128">
        <f>AG35-AE35</f>
        <v>437</v>
      </c>
      <c r="AI35" s="162"/>
      <c r="AJ35" s="165">
        <f>SUM(AJ5,AJ8,AJ11,AJ14,AJ17,AJ20,AJ23,AJ32)</f>
        <v>437</v>
      </c>
      <c r="AK35" s="164">
        <f>SUM(AK5,AK8,AK11,AK14,AK17,AK20,AK23,AK32)</f>
        <v>437</v>
      </c>
      <c r="AL35" s="128">
        <f>AK35-AI35</f>
        <v>437</v>
      </c>
      <c r="AM35" s="162"/>
      <c r="AN35" s="165">
        <f>SUM(AN5,AN8,AN11,AN14,AN17,AN20,AN23,AN32)</f>
        <v>437</v>
      </c>
      <c r="AO35" s="164">
        <f>SUM(AO5,AO8,AO11,AO14,AO17,AO20,AO23,AO32)</f>
        <v>437</v>
      </c>
      <c r="AP35" s="128">
        <f>AO35-AM35</f>
        <v>437</v>
      </c>
      <c r="AQ35" s="162"/>
      <c r="AR35" s="165">
        <f>SUM(AR5,AR8,AR11,AR14,AR17,AR20,AR23,AR32)</f>
        <v>437</v>
      </c>
      <c r="AS35" s="164">
        <f>SUM(AS5,AS8,AS11,AS14,AS17,AS20,AS23,AS32)</f>
        <v>437</v>
      </c>
      <c r="AT35" s="128">
        <f>AS35-AQ35</f>
        <v>437</v>
      </c>
      <c r="AU35" s="162"/>
      <c r="AV35" s="165">
        <f>SUM(AV5,AV8,AV11,AV14,AV17,AV20,AV23,AV32)</f>
        <v>437</v>
      </c>
      <c r="AW35" s="164">
        <f>SUM(AW5,AW8,AW11,AW14,AW17,AW20,AW23,AW32)</f>
        <v>437</v>
      </c>
      <c r="AX35" s="128">
        <f>AW35-AU35</f>
        <v>437</v>
      </c>
      <c r="AY35" s="241"/>
      <c r="AZ35" s="233">
        <f>AZ5+AZ8+AZ11+AZ14+AZ17+AZ20+AZ23+AZ32</f>
        <v>420</v>
      </c>
      <c r="BA35" s="233"/>
      <c r="BB35" s="166">
        <f>SUM(BB5,BB8,BB11,BB14,BB17,BB20,BB23,BB32)</f>
        <v>431.6666666666667</v>
      </c>
      <c r="BC35" s="164">
        <f>SUM(BC5,BC8,BC11,BC14,BC17,BC20,BC23,BC32)</f>
        <v>433</v>
      </c>
      <c r="BD35" s="132">
        <f>+BD34/BD36</f>
        <v>438.74829261773897</v>
      </c>
      <c r="BE35" s="132">
        <f t="shared" si="15"/>
        <v>7.081625951072283</v>
      </c>
      <c r="BF35" s="161"/>
      <c r="BG35" s="161"/>
      <c r="BH35" s="161"/>
      <c r="BI35" s="161"/>
      <c r="BJ35" s="161"/>
      <c r="BK35" s="126">
        <f>AVERAGE(P35,T35,X35)</f>
        <v>439</v>
      </c>
      <c r="BL35" s="164">
        <f>SUM(BL5,BL8,BL11,BL14,BL17,BL20,BL23,BL32)</f>
        <v>425.6666666666667</v>
      </c>
      <c r="BM35" s="132">
        <f>+BM34/BM36</f>
        <v>463.49409255103785</v>
      </c>
      <c r="BN35" s="132">
        <f t="shared" si="16"/>
        <v>24.494092551037852</v>
      </c>
      <c r="BP35" s="166">
        <f>SUM(BP5,BP8,BP11,BP14,BP17,BP20,BP23,BP32)</f>
        <v>430.83333333333337</v>
      </c>
      <c r="BQ35" s="164">
        <f>SUM(BQ5,BQ8,BQ11,BQ14,BQ17,BQ20,BQ23,BQ32)</f>
        <v>223.6638613678849</v>
      </c>
      <c r="BR35" s="132">
        <f>+BR34/BR36</f>
        <v>431.20816305184337</v>
      </c>
      <c r="BS35" s="132">
        <f t="shared" si="17"/>
        <v>0.37482971851</v>
      </c>
      <c r="BU35" s="166">
        <f>SUM(BU5,BU8,BU11,BU14,BU17,BU20,BU23,BU32)</f>
        <v>459.1727099714426</v>
      </c>
      <c r="BV35" s="164">
        <f>SUM(BV5,BV8,BV11,BV14,BV17,BV20,BV23,BV32)</f>
        <v>23.839376638109226</v>
      </c>
      <c r="BW35" s="132" t="e">
        <f>+BW34/BW36</f>
        <v>#DIV/0!</v>
      </c>
      <c r="BX35" s="132" t="e">
        <f t="shared" si="18"/>
        <v>#DIV/0!</v>
      </c>
      <c r="BZ35" s="166">
        <f>SUM(BZ5,BZ8,BZ11,BZ14,BZ17,BZ20,BZ23,BZ32)</f>
        <v>435.33333333333337</v>
      </c>
      <c r="CA35" s="164">
        <f>SUM(CA5,CA8,CA11,CA14,CA17,CA20,CA23,CA32)</f>
        <v>429.3333333333333</v>
      </c>
      <c r="CB35" s="132">
        <f>+CB34/CB36</f>
        <v>451.6078224801478</v>
      </c>
      <c r="CC35" s="132">
        <f t="shared" si="20"/>
        <v>16.274489146814403</v>
      </c>
    </row>
    <row r="36" spans="1:81" ht="24" thickBot="1">
      <c r="A36" s="260"/>
      <c r="B36" s="134" t="s">
        <v>87</v>
      </c>
      <c r="C36" s="134"/>
      <c r="D36" s="167">
        <f>D34/D35</f>
        <v>7.814988290398127</v>
      </c>
      <c r="E36" s="168">
        <f>E34/E35</f>
        <v>7.512820512820513</v>
      </c>
      <c r="F36" s="138">
        <f>D36-E36</f>
        <v>0.3021677775776146</v>
      </c>
      <c r="G36" s="167">
        <f>G34/G35</f>
        <v>7.399071925754059</v>
      </c>
      <c r="H36" s="140"/>
      <c r="I36" s="168">
        <f>I34/I35</f>
        <v>6.956422018348623</v>
      </c>
      <c r="J36" s="138">
        <f>G36-I36</f>
        <v>0.4426499074054364</v>
      </c>
      <c r="K36" s="141"/>
      <c r="L36" s="167">
        <f>L34/L35</f>
        <v>7.820093457943925</v>
      </c>
      <c r="M36" s="169">
        <f>M34/M35</f>
        <v>6.646579181979263</v>
      </c>
      <c r="N36" s="168">
        <f>N34/N35</f>
        <v>7.02995391705069</v>
      </c>
      <c r="O36" s="138">
        <f>L36-N36</f>
        <v>0.790139540893235</v>
      </c>
      <c r="P36" s="167">
        <f>P34/P35</f>
        <v>8.570114942528734</v>
      </c>
      <c r="Q36" s="169">
        <f>Q34/Q35</f>
        <v>7.913872479002814</v>
      </c>
      <c r="R36" s="168">
        <f>R34/R35</f>
        <v>8.025581395348835</v>
      </c>
      <c r="S36" s="138">
        <f>P36-R36</f>
        <v>0.5445335471798991</v>
      </c>
      <c r="T36" s="167">
        <f>T34/T35</f>
        <v>7.981693363844394</v>
      </c>
      <c r="U36" s="169">
        <f>U34/U35</f>
        <v>4.851258581235698</v>
      </c>
      <c r="V36" s="168">
        <f>V34/V35</f>
        <v>7.301176470588235</v>
      </c>
      <c r="W36" s="138">
        <f>T36-V36</f>
        <v>0.6805168932561587</v>
      </c>
      <c r="X36" s="167">
        <f>X34/X35</f>
        <v>7.555811685393258</v>
      </c>
      <c r="Y36" s="168">
        <f>Y34/Y35</f>
        <v>7.490521327014217</v>
      </c>
      <c r="Z36" s="138">
        <f>X36-Y36</f>
        <v>0.06529035837904118</v>
      </c>
      <c r="AA36" s="167"/>
      <c r="AB36" s="169">
        <f>AB34/AB35</f>
        <v>4.851258581235698</v>
      </c>
      <c r="AC36" s="168">
        <f>AC34/AC35</f>
        <v>0</v>
      </c>
      <c r="AD36" s="138">
        <f>AA36-AC36</f>
        <v>0</v>
      </c>
      <c r="AE36" s="167"/>
      <c r="AF36" s="169">
        <f>AF34/AF35</f>
        <v>4.851258581235698</v>
      </c>
      <c r="AG36" s="168">
        <f>AG34/AG35</f>
        <v>0</v>
      </c>
      <c r="AH36" s="138">
        <f>AE36-AG36</f>
        <v>0</v>
      </c>
      <c r="AI36" s="167"/>
      <c r="AJ36" s="169">
        <f>AJ34/AJ35</f>
        <v>4.851258581235698</v>
      </c>
      <c r="AK36" s="168">
        <f>AK34/AK35</f>
        <v>0</v>
      </c>
      <c r="AL36" s="138">
        <f>AI36-AK36</f>
        <v>0</v>
      </c>
      <c r="AM36" s="167"/>
      <c r="AN36" s="169">
        <f>AN34/AN35</f>
        <v>4.851258581235698</v>
      </c>
      <c r="AO36" s="168">
        <f>AO34/AO35</f>
        <v>0</v>
      </c>
      <c r="AP36" s="138">
        <f>AM36-AO36</f>
        <v>0</v>
      </c>
      <c r="AQ36" s="167"/>
      <c r="AR36" s="169">
        <f>AR34/AR35</f>
        <v>4.851258581235698</v>
      </c>
      <c r="AS36" s="168">
        <f>AS34/AS35</f>
        <v>0</v>
      </c>
      <c r="AT36" s="138">
        <f>AQ36-AS36</f>
        <v>0</v>
      </c>
      <c r="AU36" s="167"/>
      <c r="AV36" s="169">
        <f>AV34/AV35</f>
        <v>4.851258581235698</v>
      </c>
      <c r="AW36" s="168">
        <f>AW34/AW35</f>
        <v>0</v>
      </c>
      <c r="AX36" s="138">
        <f>AU36-AW36</f>
        <v>0</v>
      </c>
      <c r="AY36" s="237"/>
      <c r="AZ36" s="230">
        <f>AZ34/AZ35</f>
        <v>8.345238095238095</v>
      </c>
      <c r="BA36" s="230"/>
      <c r="BB36" s="136">
        <f>BB34/BB35</f>
        <v>7.282281932451687</v>
      </c>
      <c r="BC36" s="168">
        <f>BC34/BC35</f>
        <v>7.164742109314858</v>
      </c>
      <c r="BD36" s="170">
        <f>BC36</f>
        <v>7.164742109314858</v>
      </c>
      <c r="BE36" s="143">
        <f t="shared" si="15"/>
        <v>-0.11753982313682876</v>
      </c>
      <c r="BF36" s="161"/>
      <c r="BG36" s="161"/>
      <c r="BH36" s="161"/>
      <c r="BI36" s="161"/>
      <c r="BJ36" s="161"/>
      <c r="BK36" s="136">
        <f t="shared" si="14"/>
        <v>8.035873330588796</v>
      </c>
      <c r="BL36" s="168">
        <f>BL34/BL35</f>
        <v>7.6076742364917775</v>
      </c>
      <c r="BM36" s="170">
        <f>BL36</f>
        <v>7.6076742364917775</v>
      </c>
      <c r="BN36" s="143">
        <f t="shared" si="16"/>
        <v>-0.4281990940970184</v>
      </c>
      <c r="BP36" s="136">
        <f>BP34/BP35</f>
        <v>7.65321280561893</v>
      </c>
      <c r="BQ36" s="168">
        <f>BQ34/BQ35</f>
        <v>7.646560214486785</v>
      </c>
      <c r="BR36" s="170">
        <f>BQ36</f>
        <v>7.646560214486785</v>
      </c>
      <c r="BS36" s="143">
        <f t="shared" si="17"/>
        <v>-0.006652591132144892</v>
      </c>
      <c r="BU36" s="136">
        <f>BU34/BU35</f>
        <v>7.262659876487198</v>
      </c>
      <c r="BV36" s="168">
        <f>BV34/BV35</f>
        <v>0</v>
      </c>
      <c r="BW36" s="170">
        <f>BV36</f>
        <v>0</v>
      </c>
      <c r="BX36" s="143">
        <f t="shared" si="18"/>
        <v>-7.262659876487198</v>
      </c>
      <c r="BZ36" s="136">
        <f>BZ34/BZ35</f>
        <v>7.6603718616098515</v>
      </c>
      <c r="CA36" s="168">
        <f>CA34/CA35</f>
        <v>7.384316770186336</v>
      </c>
      <c r="CB36" s="170">
        <f>CA36</f>
        <v>7.384316770186336</v>
      </c>
      <c r="CC36" s="143">
        <f t="shared" si="20"/>
        <v>-0.27605509142351536</v>
      </c>
    </row>
    <row r="37" s="185" customFormat="1" ht="14.25">
      <c r="L37" s="208"/>
    </row>
    <row r="38" spans="4:49" s="185" customFormat="1" ht="14.25">
      <c r="D38" s="171">
        <f>D31+D28+D25+D22+D19+D16+D13+D10+D7+D4</f>
        <v>7881.000000000001</v>
      </c>
      <c r="E38" s="171">
        <f>E31+E28+E25+E22+E19+E16+E13+E10+E7+E4</f>
        <v>7176</v>
      </c>
      <c r="G38" s="171">
        <f>G31+G28+G25+G22+G19+G16+G13+G10+G7+G4</f>
        <v>8001.000000000001</v>
      </c>
      <c r="H38" s="171">
        <f>H31+H28+H25+H22+H19+H16+H13+H10+H7+H4</f>
        <v>6976.109</v>
      </c>
      <c r="I38" s="171">
        <f>I31+I28+I25+I22+I19+I16+I13+I10+I7+I4</f>
        <v>7013</v>
      </c>
      <c r="L38" s="208">
        <f>12.7+32</f>
        <v>44.7</v>
      </c>
      <c r="N38" s="171">
        <f>N31+N28+N25+N22+N19+N16+N13+N10+N7+N4</f>
        <v>7039.000000000001</v>
      </c>
      <c r="P38" s="185">
        <f>24.4+9.5</f>
        <v>33.9</v>
      </c>
      <c r="R38" s="171">
        <f>R31+R28+R25+R22+R19+R16+R13+R10+R7+R4</f>
        <v>7439.000000000002</v>
      </c>
      <c r="T38" s="185">
        <f>8+19</f>
        <v>27</v>
      </c>
      <c r="V38" s="171">
        <f>V31+V28+V25+V22+V19+V16+V13+V10+V7+V4</f>
        <v>7091</v>
      </c>
      <c r="Y38" s="171">
        <f>Y31+Y28+Y25+Y22+Y19+Y16+Y13+Y10+Y7+Y4</f>
        <v>7148.999999999999</v>
      </c>
      <c r="AC38" s="171">
        <f>AC31+AC28+AC25+AC22+AC19+AC16+AC13+AC10+AC7+AC4</f>
        <v>3988</v>
      </c>
      <c r="AG38" s="171">
        <f>AG31+AG28+AG25+AG22+AG19+AG16+AG13+AG10+AG7+AG4</f>
        <v>3988</v>
      </c>
      <c r="AK38" s="171">
        <f>AK31+AK28+AK25+AK22+AK19+AK16+AK13+AK10+AK7+AK4</f>
        <v>3988</v>
      </c>
      <c r="AO38" s="171">
        <f>AO31+AO28+AO25+AO22+AO19+AO16+AO13+AO10+AO7+AO4</f>
        <v>3988</v>
      </c>
      <c r="AS38" s="171">
        <f>AS31+AS28+AS25+AS22+AS19+AS16+AS13+AS10+AS7+AS4</f>
        <v>3988</v>
      </c>
      <c r="AW38" s="171">
        <f>AW31+AW28+AW25+AW22+AW19+AW16+AW13+AW10+AW7+AW4</f>
        <v>3988</v>
      </c>
    </row>
    <row r="39" spans="4:49" s="185" customFormat="1" ht="14.25">
      <c r="D39" s="186">
        <f>D28+D25</f>
        <v>4544</v>
      </c>
      <c r="E39" s="186">
        <f>E28+E25</f>
        <v>3953</v>
      </c>
      <c r="G39" s="186">
        <f>G28+G25</f>
        <v>4812</v>
      </c>
      <c r="I39" s="171">
        <f>I38-B41</f>
        <v>-12</v>
      </c>
      <c r="L39" s="208"/>
      <c r="N39" s="186">
        <f>N28+N25</f>
        <v>3988</v>
      </c>
      <c r="R39" s="186">
        <f>R28+R25</f>
        <v>3988</v>
      </c>
      <c r="V39" s="186">
        <f>V28+V25</f>
        <v>3988</v>
      </c>
      <c r="Y39" s="186">
        <f>Y28+Y25</f>
        <v>3988</v>
      </c>
      <c r="AC39" s="186">
        <f>AC28+AC25</f>
        <v>3988</v>
      </c>
      <c r="AG39" s="186">
        <f>AG28+AG25</f>
        <v>3988</v>
      </c>
      <c r="AK39" s="186">
        <f>AK28+AK25</f>
        <v>3988</v>
      </c>
      <c r="AO39" s="186">
        <f>AO28+AO25</f>
        <v>3988</v>
      </c>
      <c r="AS39" s="186">
        <f>AS28+AS25</f>
        <v>3988</v>
      </c>
      <c r="AW39" s="186">
        <f>AW28+AW25</f>
        <v>3988</v>
      </c>
    </row>
    <row r="40" spans="1:49" s="185" customFormat="1" ht="14.25">
      <c r="A40" s="185" t="s">
        <v>96</v>
      </c>
      <c r="B40" s="185">
        <v>7320</v>
      </c>
      <c r="D40" s="171">
        <f>D38-D39</f>
        <v>3337.000000000001</v>
      </c>
      <c r="E40" s="171">
        <f>E38-E39</f>
        <v>3223</v>
      </c>
      <c r="G40" s="171">
        <f>G38-G39</f>
        <v>3189.000000000001</v>
      </c>
      <c r="L40" s="208"/>
      <c r="N40" s="171">
        <f>N38-N39</f>
        <v>3051.000000000001</v>
      </c>
      <c r="R40" s="171">
        <f>R38-R39</f>
        <v>3451.000000000002</v>
      </c>
      <c r="V40" s="171">
        <f>V38-V39</f>
        <v>3103</v>
      </c>
      <c r="Y40" s="171">
        <f>Y38-Y39</f>
        <v>3160.999999999999</v>
      </c>
      <c r="AC40" s="171">
        <f>AC38-AC39</f>
        <v>0</v>
      </c>
      <c r="AG40" s="171">
        <f>AG38-AG39</f>
        <v>0</v>
      </c>
      <c r="AK40" s="171">
        <f>AK38-AK39</f>
        <v>0</v>
      </c>
      <c r="AO40" s="171">
        <f>AO38-AO39</f>
        <v>0</v>
      </c>
      <c r="AS40" s="171">
        <f>AS38-AS39</f>
        <v>0</v>
      </c>
      <c r="AW40" s="171">
        <f>AW38-AW39</f>
        <v>0</v>
      </c>
    </row>
    <row r="41" spans="1:20" s="185" customFormat="1" ht="15" thickBot="1">
      <c r="A41" s="185" t="s">
        <v>97</v>
      </c>
      <c r="B41" s="185">
        <v>7025</v>
      </c>
      <c r="D41" s="171">
        <f>B49-D40</f>
        <v>-114.00000000000091</v>
      </c>
      <c r="G41" s="171">
        <f>B50-G40</f>
        <v>0</v>
      </c>
      <c r="L41" s="208"/>
      <c r="P41" s="187">
        <f>P38+P34</f>
        <v>3761.899999999999</v>
      </c>
      <c r="T41" s="187">
        <f>+T34+T38</f>
        <v>3515</v>
      </c>
    </row>
    <row r="42" spans="1:18" s="185" customFormat="1" ht="15.75" thickBot="1">
      <c r="A42" s="190" t="s">
        <v>116</v>
      </c>
      <c r="B42" s="191">
        <v>3337</v>
      </c>
      <c r="L42" s="208"/>
      <c r="R42" s="187"/>
    </row>
    <row r="43" spans="4:16" s="185" customFormat="1" ht="14.25">
      <c r="D43" s="187">
        <f>D5+D8+D11+D14+D17+D20+D23+D32</f>
        <v>427</v>
      </c>
      <c r="E43" s="187">
        <f>E5+E8+E11+E14+E17+E20+E23+E32</f>
        <v>429</v>
      </c>
      <c r="G43" s="187">
        <f>G5+G8+G11+G14+G17+G20+G23+G32</f>
        <v>431</v>
      </c>
      <c r="H43" s="187">
        <f>H5+H8+H11+H14+H17+H20+H23+H32</f>
        <v>0</v>
      </c>
      <c r="I43" s="187">
        <f>I5+I8+I11+I14+I17+I20+I23+I32</f>
        <v>436</v>
      </c>
      <c r="L43" s="209">
        <f>L5+L8+L11+L14+L17+L20+L23+L32</f>
        <v>428</v>
      </c>
      <c r="P43" s="187">
        <f>P5+P8+P11+P14+P17+P20+P23+P32</f>
        <v>435</v>
      </c>
    </row>
    <row r="44" spans="1:12" s="185" customFormat="1" ht="14.25">
      <c r="A44" s="185" t="s">
        <v>97</v>
      </c>
      <c r="B44" s="185">
        <v>7025</v>
      </c>
      <c r="L44" s="208"/>
    </row>
    <row r="45" spans="1:12" s="185" customFormat="1" ht="15" thickBot="1">
      <c r="A45" s="185" t="s">
        <v>98</v>
      </c>
      <c r="B45" s="185">
        <v>6976</v>
      </c>
      <c r="L45" s="208"/>
    </row>
    <row r="46" spans="1:12" s="185" customFormat="1" ht="15.75" thickBot="1">
      <c r="A46" s="190" t="s">
        <v>99</v>
      </c>
      <c r="B46" s="191">
        <v>3033</v>
      </c>
      <c r="L46" s="208"/>
    </row>
    <row r="47" spans="1:12" s="185" customFormat="1" ht="14.25">
      <c r="A47" s="185" t="s">
        <v>100</v>
      </c>
      <c r="B47" s="185">
        <v>3033</v>
      </c>
      <c r="L47" s="208"/>
    </row>
    <row r="48" s="185" customFormat="1" ht="15" thickBot="1">
      <c r="L48" s="208"/>
    </row>
    <row r="49" spans="1:12" s="185" customFormat="1" ht="15.75" thickBot="1">
      <c r="A49" s="190" t="s">
        <v>115</v>
      </c>
      <c r="B49" s="191">
        <v>3223</v>
      </c>
      <c r="L49" s="208"/>
    </row>
    <row r="50" spans="1:12" s="185" customFormat="1" ht="15.75" thickBot="1">
      <c r="A50" s="190" t="s">
        <v>101</v>
      </c>
      <c r="B50" s="191">
        <v>3189</v>
      </c>
      <c r="L50" s="208"/>
    </row>
    <row r="51" s="185" customFormat="1" ht="14.25">
      <c r="L51" s="208"/>
    </row>
    <row r="52" spans="1:12" s="185" customFormat="1" ht="14.25">
      <c r="A52" s="185" t="s">
        <v>102</v>
      </c>
      <c r="B52" s="185">
        <f>3051+48</f>
        <v>3099</v>
      </c>
      <c r="L52" s="208"/>
    </row>
    <row r="53" spans="1:12" s="185" customFormat="1" ht="14.25">
      <c r="A53" s="185" t="s">
        <v>103</v>
      </c>
      <c r="B53" s="185">
        <f>3051</f>
        <v>3051</v>
      </c>
      <c r="L53" s="208"/>
    </row>
    <row r="54" spans="1:12" s="185" customFormat="1" ht="14.25">
      <c r="A54" s="185" t="s">
        <v>200</v>
      </c>
      <c r="B54" s="185">
        <v>3347</v>
      </c>
      <c r="L54" s="208"/>
    </row>
    <row r="55" spans="1:12" s="185" customFormat="1" ht="14.25">
      <c r="A55" s="185" t="s">
        <v>104</v>
      </c>
      <c r="B55" s="185">
        <v>7087</v>
      </c>
      <c r="L55" s="208"/>
    </row>
    <row r="56" spans="1:12" s="185" customFormat="1" ht="14.25">
      <c r="A56" s="185" t="s">
        <v>118</v>
      </c>
      <c r="L56" s="208"/>
    </row>
    <row r="57" spans="1:12" s="185" customFormat="1" ht="14.25">
      <c r="A57" s="185" t="s">
        <v>206</v>
      </c>
      <c r="B57" s="185">
        <v>3728</v>
      </c>
      <c r="L57" s="208"/>
    </row>
    <row r="58" spans="1:12" s="185" customFormat="1" ht="14.25">
      <c r="A58" s="185" t="s">
        <v>119</v>
      </c>
      <c r="B58" s="185">
        <v>3451</v>
      </c>
      <c r="L58" s="208"/>
    </row>
    <row r="59" spans="1:12" s="185" customFormat="1" ht="14.25">
      <c r="A59" s="185" t="s">
        <v>158</v>
      </c>
      <c r="B59" s="185">
        <v>3429</v>
      </c>
      <c r="L59" s="208"/>
    </row>
    <row r="60" spans="1:12" s="185" customFormat="1" ht="14.25">
      <c r="A60" s="185" t="s">
        <v>207</v>
      </c>
      <c r="B60" s="185">
        <v>3488</v>
      </c>
      <c r="L60" s="208"/>
    </row>
    <row r="61" spans="1:12" s="185" customFormat="1" ht="15" thickBot="1">
      <c r="A61" s="185" t="s">
        <v>167</v>
      </c>
      <c r="B61" s="185">
        <f>3103</f>
        <v>3103</v>
      </c>
      <c r="L61" s="208"/>
    </row>
    <row r="62" spans="1:16" s="185" customFormat="1" ht="15.75" thickBot="1">
      <c r="A62" s="211" t="s">
        <v>168</v>
      </c>
      <c r="B62" s="212">
        <f>3161</f>
        <v>3161</v>
      </c>
      <c r="D62" s="185" t="s">
        <v>170</v>
      </c>
      <c r="E62" s="185" t="s">
        <v>193</v>
      </c>
      <c r="K62" s="185" t="s">
        <v>202</v>
      </c>
      <c r="L62" s="185" t="s">
        <v>202</v>
      </c>
      <c r="M62" s="185" t="s">
        <v>203</v>
      </c>
      <c r="N62" s="185" t="s">
        <v>203</v>
      </c>
      <c r="O62" s="185" t="s">
        <v>201</v>
      </c>
      <c r="P62" s="185" t="s">
        <v>170</v>
      </c>
    </row>
    <row r="63" spans="1:16" s="185" customFormat="1" ht="14.25">
      <c r="A63" s="185" t="s">
        <v>105</v>
      </c>
      <c r="B63" s="188">
        <f>March!P2</f>
        <v>0.2531639569296347</v>
      </c>
      <c r="D63" s="213">
        <v>0.32</v>
      </c>
      <c r="E63" s="224">
        <f>May!B55</f>
        <v>0.24519005459131102</v>
      </c>
      <c r="L63" s="244">
        <f>22.13/100</f>
        <v>0.2213</v>
      </c>
      <c r="N63" s="188">
        <f>24.98/100</f>
        <v>0.2498</v>
      </c>
      <c r="O63" s="188">
        <f>26.31/100</f>
        <v>0.2631</v>
      </c>
      <c r="P63" s="188">
        <f>27.49/100</f>
        <v>0.2749</v>
      </c>
    </row>
    <row r="64" spans="1:16" s="185" customFormat="1" ht="14.25">
      <c r="A64" s="185" t="s">
        <v>106</v>
      </c>
      <c r="B64" s="188">
        <f>March!Q2</f>
        <v>0.061462759768730876</v>
      </c>
      <c r="D64" s="188">
        <v>0.039</v>
      </c>
      <c r="E64" s="224">
        <f>May!C55</f>
        <v>0.061752922118227874</v>
      </c>
      <c r="L64" s="244">
        <f>6.2/100</f>
        <v>0.062</v>
      </c>
      <c r="N64" s="188">
        <f>6.15/100</f>
        <v>0.061500000000000006</v>
      </c>
      <c r="O64" s="188">
        <f>6.18/100</f>
        <v>0.061799999999999994</v>
      </c>
      <c r="P64" s="188">
        <f>5.95/100</f>
        <v>0.059500000000000004</v>
      </c>
    </row>
    <row r="65" spans="1:16" s="185" customFormat="1" ht="14.25">
      <c r="A65" s="185" t="s">
        <v>107</v>
      </c>
      <c r="B65" s="188">
        <f>March!R2</f>
        <v>0.27623922849666394</v>
      </c>
      <c r="D65" s="213">
        <v>0.1</v>
      </c>
      <c r="E65" s="224">
        <f>May!D55</f>
        <v>0.27723127830666755</v>
      </c>
      <c r="L65" s="244">
        <f>28.66/100</f>
        <v>0.2866</v>
      </c>
      <c r="N65" s="188">
        <f>27.33/100</f>
        <v>0.2733</v>
      </c>
      <c r="O65" s="188">
        <f>27.25/100</f>
        <v>0.2725</v>
      </c>
      <c r="P65" s="188">
        <f>26.84/100</f>
        <v>0.26839999999999997</v>
      </c>
    </row>
    <row r="66" spans="1:16" s="185" customFormat="1" ht="14.25">
      <c r="A66" s="185" t="s">
        <v>108</v>
      </c>
      <c r="B66" s="188">
        <f>March!S2</f>
        <v>0.15037364249315782</v>
      </c>
      <c r="D66" s="213">
        <v>0.18</v>
      </c>
      <c r="E66" s="224">
        <f>May!E55</f>
        <v>0.15233408461769396</v>
      </c>
      <c r="L66" s="244">
        <f>16.29/100</f>
        <v>0.1629</v>
      </c>
      <c r="N66" s="188">
        <f>14.34/100</f>
        <v>0.1434</v>
      </c>
      <c r="O66" s="188">
        <f>15.17/100</f>
        <v>0.1517</v>
      </c>
      <c r="P66" s="188">
        <f>14.15/100</f>
        <v>0.14150000000000001</v>
      </c>
    </row>
    <row r="67" spans="1:16" s="185" customFormat="1" ht="14.25">
      <c r="A67" s="185" t="s">
        <v>109</v>
      </c>
      <c r="B67" s="188">
        <f>March!T2</f>
        <v>0.1568858147338772</v>
      </c>
      <c r="D67" s="188">
        <v>0.251</v>
      </c>
      <c r="E67" s="224">
        <f>May!F55</f>
        <v>0.15763830472093976</v>
      </c>
      <c r="L67" s="244">
        <f>16.15/100</f>
        <v>0.16149999999999998</v>
      </c>
      <c r="N67" s="188">
        <f>16.05/100</f>
        <v>0.1605</v>
      </c>
      <c r="O67" s="188">
        <f>15.09/100</f>
        <v>0.1509</v>
      </c>
      <c r="P67" s="188">
        <f>15.18/100</f>
        <v>0.1518</v>
      </c>
    </row>
    <row r="68" spans="1:16" s="185" customFormat="1" ht="14.25">
      <c r="A68" s="185" t="s">
        <v>110</v>
      </c>
      <c r="B68" s="188">
        <f>March!U2</f>
        <v>0.00760207739372858</v>
      </c>
      <c r="D68" s="188">
        <v>0.018</v>
      </c>
      <c r="E68" s="224">
        <f>May!G55</f>
        <v>0.007562629788408172</v>
      </c>
      <c r="L68" s="244">
        <f>0.76/100</f>
        <v>0.0076</v>
      </c>
      <c r="N68" s="188">
        <f>0.78/100</f>
        <v>0.0078000000000000005</v>
      </c>
      <c r="O68" s="188">
        <f>0.72/100</f>
        <v>0.0072</v>
      </c>
      <c r="P68" s="188">
        <f>0.76/100</f>
        <v>0.0076</v>
      </c>
    </row>
    <row r="69" spans="1:16" s="185" customFormat="1" ht="14.25">
      <c r="A69" s="185" t="s">
        <v>111</v>
      </c>
      <c r="B69" s="188">
        <f>March!V2</f>
        <v>0.06970264839090683</v>
      </c>
      <c r="D69" s="188">
        <v>0.066</v>
      </c>
      <c r="E69" s="224">
        <f>May!H55</f>
        <v>0.0693490982337355</v>
      </c>
      <c r="L69" s="244">
        <f>6.99/100</f>
        <v>0.0699</v>
      </c>
      <c r="N69" s="188">
        <f>7.3/100</f>
        <v>0.073</v>
      </c>
      <c r="O69" s="188">
        <f>6.5/100</f>
        <v>0.065</v>
      </c>
      <c r="P69" s="188">
        <f>6.97/100</f>
        <v>0.0697</v>
      </c>
    </row>
    <row r="70" spans="1:16" s="185" customFormat="1" ht="14.25">
      <c r="A70" s="185" t="s">
        <v>169</v>
      </c>
      <c r="B70" s="188">
        <f>March!W2</f>
        <v>0.028516949182108543</v>
      </c>
      <c r="D70" s="188">
        <v>0.022</v>
      </c>
      <c r="E70" s="224">
        <f>May!I55</f>
        <v>0.028941627623016115</v>
      </c>
      <c r="L70" s="244">
        <f>2.82/100</f>
        <v>0.0282</v>
      </c>
      <c r="N70" s="188">
        <f>3.07/100</f>
        <v>0.030699999999999998</v>
      </c>
      <c r="O70" s="188">
        <f>2.78/100</f>
        <v>0.0278</v>
      </c>
      <c r="P70" s="188">
        <f>2.67/100</f>
        <v>0.026699999999999998</v>
      </c>
    </row>
    <row r="71" spans="2:16" s="185" customFormat="1" ht="15" thickBot="1">
      <c r="B71" s="189">
        <v>1</v>
      </c>
      <c r="D71" s="213">
        <f>SUM(D63:D70)</f>
        <v>0.996</v>
      </c>
      <c r="E71" s="225">
        <f>SUM(E63:E70)</f>
        <v>0.9999999999999999</v>
      </c>
      <c r="J71" s="245" t="s">
        <v>205</v>
      </c>
      <c r="L71" s="244">
        <f>SUM(L63:L70)</f>
        <v>1</v>
      </c>
      <c r="M71" s="208">
        <f>SUM(M63:M70)</f>
        <v>0</v>
      </c>
      <c r="N71" s="188">
        <f>SUM(N63:N70)</f>
        <v>0.9999999999999999</v>
      </c>
      <c r="O71" s="244">
        <f>SUM(O63:O70)</f>
        <v>1</v>
      </c>
      <c r="P71" s="244">
        <f>SUM(P63:P70)</f>
        <v>1.0001</v>
      </c>
    </row>
    <row r="72" spans="1:12" s="185" customFormat="1" ht="15" thickTop="1">
      <c r="A72" s="185" t="s">
        <v>208</v>
      </c>
      <c r="B72" s="187">
        <v>3362</v>
      </c>
      <c r="L72" s="208"/>
    </row>
    <row r="73" spans="2:12" s="185" customFormat="1" ht="14.25">
      <c r="B73" s="188"/>
      <c r="L73" s="208"/>
    </row>
    <row r="74" spans="1:12" s="185" customFormat="1" ht="14.25">
      <c r="A74" s="185" t="s">
        <v>105</v>
      </c>
      <c r="B74" s="188">
        <f>(L4/L34)</f>
        <v>0.2213</v>
      </c>
      <c r="L74" s="208"/>
    </row>
    <row r="75" spans="1:12" s="185" customFormat="1" ht="14.25">
      <c r="A75" s="185" t="s">
        <v>106</v>
      </c>
      <c r="B75" s="188">
        <f>L7/L34</f>
        <v>0.062</v>
      </c>
      <c r="L75" s="208"/>
    </row>
    <row r="76" spans="1:12" s="185" customFormat="1" ht="14.25">
      <c r="A76" s="185" t="s">
        <v>107</v>
      </c>
      <c r="B76" s="188">
        <f>L10/L34</f>
        <v>0.2866</v>
      </c>
      <c r="L76" s="208"/>
    </row>
    <row r="77" spans="1:12" s="185" customFormat="1" ht="14.25">
      <c r="A77" s="185" t="s">
        <v>108</v>
      </c>
      <c r="B77" s="188">
        <f>L13/L34</f>
        <v>0.1629</v>
      </c>
      <c r="L77" s="208"/>
    </row>
    <row r="78" spans="1:2" ht="14.25">
      <c r="A78" s="185" t="s">
        <v>109</v>
      </c>
      <c r="B78" s="188">
        <f>L16/L34</f>
        <v>0.16149999999999998</v>
      </c>
    </row>
    <row r="79" spans="1:2" ht="14.25">
      <c r="A79" s="185" t="s">
        <v>110</v>
      </c>
      <c r="B79" s="188">
        <f>L19/L34</f>
        <v>0.0076</v>
      </c>
    </row>
    <row r="80" spans="1:2" ht="14.25">
      <c r="A80" s="185" t="s">
        <v>111</v>
      </c>
      <c r="B80" s="188">
        <f>L22/L34</f>
        <v>0.0699</v>
      </c>
    </row>
    <row r="81" spans="1:2" ht="14.25">
      <c r="A81" s="185"/>
      <c r="B81" s="193"/>
    </row>
    <row r="82" spans="1:2" ht="15.75" thickBot="1">
      <c r="A82" s="185"/>
      <c r="B82" s="194">
        <f>SUM(B74:B81)</f>
        <v>0.9718000000000001</v>
      </c>
    </row>
    <row r="83" ht="13.5" thickTop="1"/>
    <row r="84" spans="1:2" ht="12.75">
      <c r="A84" s="9" t="s">
        <v>199</v>
      </c>
      <c r="B84" s="234">
        <v>3505</v>
      </c>
    </row>
  </sheetData>
  <mergeCells count="11">
    <mergeCell ref="A31:A33"/>
    <mergeCell ref="A34:A36"/>
    <mergeCell ref="A13:A15"/>
    <mergeCell ref="A19:A21"/>
    <mergeCell ref="A22:A24"/>
    <mergeCell ref="A28:A30"/>
    <mergeCell ref="A16:A18"/>
    <mergeCell ref="A2:O2"/>
    <mergeCell ref="A4:A6"/>
    <mergeCell ref="A7:A9"/>
    <mergeCell ref="A10:A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IV16384"/>
    </sheetView>
  </sheetViews>
  <sheetFormatPr defaultColWidth="9.140625" defaultRowHeight="18.75" customHeight="1"/>
  <cols>
    <col min="1" max="1" width="11.7109375" style="17" bestFit="1" customWidth="1"/>
    <col min="2" max="2" width="16.8515625" style="36" bestFit="1" customWidth="1"/>
    <col min="3" max="3" width="5.7109375" style="0" customWidth="1"/>
    <col min="4" max="4" width="14.57421875" style="37" customWidth="1"/>
    <col min="7" max="7" width="12.28125" style="0" bestFit="1" customWidth="1"/>
  </cols>
  <sheetData>
    <row r="1" spans="2:4" ht="12.75">
      <c r="B1" s="18"/>
      <c r="C1" s="19"/>
      <c r="D1" s="20"/>
    </row>
    <row r="2" spans="1:4" ht="13.5" customHeight="1">
      <c r="A2" s="21" t="s">
        <v>6</v>
      </c>
      <c r="B2" s="22" t="s">
        <v>7</v>
      </c>
      <c r="C2" s="23" t="s">
        <v>8</v>
      </c>
      <c r="D2" s="24" t="s">
        <v>9</v>
      </c>
    </row>
    <row r="3" spans="1:7" ht="15" customHeight="1">
      <c r="A3" s="25">
        <v>20315</v>
      </c>
      <c r="B3" s="26" t="s">
        <v>10</v>
      </c>
      <c r="C3" s="27" t="s">
        <v>11</v>
      </c>
      <c r="D3" s="28">
        <v>51705</v>
      </c>
      <c r="G3" s="29">
        <v>0</v>
      </c>
    </row>
    <row r="4" spans="1:7" ht="15" customHeight="1">
      <c r="A4" s="25">
        <v>20338</v>
      </c>
      <c r="B4" s="26" t="s">
        <v>12</v>
      </c>
      <c r="C4" s="27" t="s">
        <v>11</v>
      </c>
      <c r="D4" s="28">
        <v>14818</v>
      </c>
      <c r="G4" s="29">
        <v>0</v>
      </c>
    </row>
    <row r="5" spans="1:7" ht="15" customHeight="1">
      <c r="A5" s="25">
        <v>20339</v>
      </c>
      <c r="B5" s="26" t="s">
        <v>12</v>
      </c>
      <c r="C5" s="27" t="s">
        <v>11</v>
      </c>
      <c r="D5" s="28">
        <v>45444</v>
      </c>
      <c r="G5" s="29">
        <v>0</v>
      </c>
    </row>
    <row r="6" spans="1:7" ht="15" customHeight="1">
      <c r="A6" s="25">
        <v>20340</v>
      </c>
      <c r="B6" s="26" t="s">
        <v>10</v>
      </c>
      <c r="C6" s="27" t="s">
        <v>11</v>
      </c>
      <c r="D6" s="28">
        <v>21500</v>
      </c>
      <c r="G6" s="29">
        <v>0</v>
      </c>
    </row>
    <row r="7" spans="1:7" ht="15" customHeight="1">
      <c r="A7" s="25">
        <v>20345</v>
      </c>
      <c r="B7" s="26" t="s">
        <v>13</v>
      </c>
      <c r="C7" s="27" t="s">
        <v>11</v>
      </c>
      <c r="D7" s="30">
        <v>61577</v>
      </c>
      <c r="G7" s="29">
        <v>0</v>
      </c>
    </row>
    <row r="8" spans="1:8" ht="15" customHeight="1">
      <c r="A8" s="25">
        <v>20346</v>
      </c>
      <c r="B8" s="26" t="s">
        <v>13</v>
      </c>
      <c r="C8" s="27" t="s">
        <v>11</v>
      </c>
      <c r="D8" s="30">
        <v>28349</v>
      </c>
      <c r="G8" s="29">
        <v>0</v>
      </c>
      <c r="H8" t="s">
        <v>1</v>
      </c>
    </row>
    <row r="9" spans="1:7" ht="15" customHeight="1">
      <c r="A9" s="25">
        <v>20354</v>
      </c>
      <c r="B9" s="26" t="s">
        <v>14</v>
      </c>
      <c r="C9" s="27" t="s">
        <v>11</v>
      </c>
      <c r="D9" s="28">
        <v>25240</v>
      </c>
      <c r="G9" s="29">
        <v>0</v>
      </c>
    </row>
    <row r="10" spans="1:7" ht="15" customHeight="1">
      <c r="A10" s="25">
        <v>27398</v>
      </c>
      <c r="B10" s="26" t="s">
        <v>15</v>
      </c>
      <c r="C10" s="27" t="s">
        <v>11</v>
      </c>
      <c r="D10" s="28">
        <v>135200</v>
      </c>
      <c r="G10" s="29">
        <v>0</v>
      </c>
    </row>
    <row r="11" spans="1:7" ht="15" customHeight="1">
      <c r="A11" s="25">
        <v>20356</v>
      </c>
      <c r="B11" s="26" t="s">
        <v>15</v>
      </c>
      <c r="C11" s="27" t="s">
        <v>11</v>
      </c>
      <c r="D11" s="28">
        <v>30900</v>
      </c>
      <c r="G11" s="29">
        <v>0</v>
      </c>
    </row>
    <row r="12" spans="1:7" ht="15" customHeight="1">
      <c r="A12" s="25">
        <v>20357</v>
      </c>
      <c r="B12" s="26" t="s">
        <v>14</v>
      </c>
      <c r="C12" s="27" t="s">
        <v>11</v>
      </c>
      <c r="D12" s="28">
        <v>22870</v>
      </c>
      <c r="G12" s="29">
        <v>0</v>
      </c>
    </row>
    <row r="13" spans="1:7" ht="15" customHeight="1">
      <c r="A13" s="25">
        <v>20358</v>
      </c>
      <c r="B13" s="26" t="s">
        <v>14</v>
      </c>
      <c r="C13" s="27" t="s">
        <v>11</v>
      </c>
      <c r="D13" s="28">
        <v>22870</v>
      </c>
      <c r="G13" s="29">
        <v>0</v>
      </c>
    </row>
    <row r="14" spans="1:7" ht="15" customHeight="1">
      <c r="A14" s="25">
        <v>20359</v>
      </c>
      <c r="B14" s="26" t="s">
        <v>15</v>
      </c>
      <c r="C14" s="27" t="s">
        <v>11</v>
      </c>
      <c r="D14" s="28">
        <v>35900</v>
      </c>
      <c r="G14" s="29">
        <v>0</v>
      </c>
    </row>
    <row r="15" spans="1:7" ht="15" customHeight="1">
      <c r="A15" s="25">
        <v>27399</v>
      </c>
      <c r="B15" s="26" t="s">
        <v>15</v>
      </c>
      <c r="C15" s="27" t="s">
        <v>11</v>
      </c>
      <c r="D15" s="28">
        <v>149850</v>
      </c>
      <c r="G15" s="29">
        <v>0</v>
      </c>
    </row>
    <row r="16" spans="1:7" ht="15" customHeight="1">
      <c r="A16" s="25">
        <v>27382</v>
      </c>
      <c r="B16" s="26" t="s">
        <v>15</v>
      </c>
      <c r="C16" s="27" t="s">
        <v>11</v>
      </c>
      <c r="D16" s="28">
        <v>64500</v>
      </c>
      <c r="G16" s="29">
        <v>0</v>
      </c>
    </row>
    <row r="17" spans="1:7" ht="15" customHeight="1">
      <c r="A17" s="25">
        <v>20362</v>
      </c>
      <c r="B17" s="26" t="s">
        <v>15</v>
      </c>
      <c r="C17" s="27" t="s">
        <v>11</v>
      </c>
      <c r="D17" s="28">
        <v>160700</v>
      </c>
      <c r="G17" s="29">
        <v>0</v>
      </c>
    </row>
    <row r="18" spans="1:7" ht="15" customHeight="1">
      <c r="A18" s="25">
        <v>20363</v>
      </c>
      <c r="B18" s="26" t="s">
        <v>16</v>
      </c>
      <c r="C18" s="27" t="s">
        <v>11</v>
      </c>
      <c r="D18" s="28">
        <v>27564</v>
      </c>
      <c r="G18" s="29">
        <v>0</v>
      </c>
    </row>
    <row r="19" spans="1:7" ht="15" customHeight="1">
      <c r="A19" s="25">
        <v>20364</v>
      </c>
      <c r="B19" s="26" t="s">
        <v>15</v>
      </c>
      <c r="C19" s="27" t="s">
        <v>11</v>
      </c>
      <c r="D19" s="28">
        <v>184800</v>
      </c>
      <c r="G19" s="29">
        <v>0</v>
      </c>
    </row>
    <row r="20" spans="1:7" ht="15" customHeight="1">
      <c r="A20" s="25">
        <v>20365</v>
      </c>
      <c r="B20" s="26" t="s">
        <v>15</v>
      </c>
      <c r="C20" s="27" t="s">
        <v>11</v>
      </c>
      <c r="D20" s="28">
        <v>127400</v>
      </c>
      <c r="G20" s="29">
        <v>0</v>
      </c>
    </row>
    <row r="21" spans="1:7" ht="15" customHeight="1">
      <c r="A21" s="25">
        <v>20372</v>
      </c>
      <c r="B21" s="26" t="s">
        <v>17</v>
      </c>
      <c r="C21" s="27" t="s">
        <v>11</v>
      </c>
      <c r="D21" s="28">
        <v>14750</v>
      </c>
      <c r="G21" s="29">
        <v>0</v>
      </c>
    </row>
    <row r="22" spans="1:7" ht="15" customHeight="1">
      <c r="A22" s="25">
        <v>20376</v>
      </c>
      <c r="B22" s="26" t="s">
        <v>10</v>
      </c>
      <c r="C22" s="27" t="s">
        <v>11</v>
      </c>
      <c r="D22" s="28">
        <v>16300</v>
      </c>
      <c r="G22" s="29">
        <v>0</v>
      </c>
    </row>
    <row r="23" spans="1:7" ht="15" customHeight="1">
      <c r="A23" s="25">
        <v>20379</v>
      </c>
      <c r="B23" s="26" t="s">
        <v>18</v>
      </c>
      <c r="C23" s="27" t="s">
        <v>11</v>
      </c>
      <c r="D23" s="28">
        <v>49000</v>
      </c>
      <c r="G23" s="29">
        <v>0</v>
      </c>
    </row>
    <row r="24" spans="1:7" ht="15" customHeight="1">
      <c r="A24" s="25">
        <v>20397</v>
      </c>
      <c r="B24" s="26" t="s">
        <v>19</v>
      </c>
      <c r="C24" s="27" t="s">
        <v>11</v>
      </c>
      <c r="D24" s="28">
        <v>22000</v>
      </c>
      <c r="G24" s="29">
        <v>0</v>
      </c>
    </row>
    <row r="25" spans="1:7" ht="15" customHeight="1">
      <c r="A25" s="25">
        <v>20392</v>
      </c>
      <c r="B25" s="26" t="s">
        <v>20</v>
      </c>
      <c r="C25" s="27" t="s">
        <v>11</v>
      </c>
      <c r="D25" s="28">
        <v>24000</v>
      </c>
      <c r="G25" s="29">
        <v>0</v>
      </c>
    </row>
    <row r="26" spans="1:7" ht="15" customHeight="1">
      <c r="A26" s="25">
        <v>20396</v>
      </c>
      <c r="B26" s="26" t="s">
        <v>21</v>
      </c>
      <c r="C26" s="27" t="s">
        <v>11</v>
      </c>
      <c r="D26" s="28">
        <v>56429</v>
      </c>
      <c r="G26" s="29">
        <v>0</v>
      </c>
    </row>
    <row r="27" spans="1:7" ht="15" customHeight="1">
      <c r="A27" s="25">
        <v>27380</v>
      </c>
      <c r="B27" s="26" t="s">
        <v>21</v>
      </c>
      <c r="C27" s="27" t="s">
        <v>11</v>
      </c>
      <c r="D27" s="28">
        <v>37757</v>
      </c>
      <c r="G27" s="29">
        <v>0</v>
      </c>
    </row>
    <row r="28" spans="1:7" ht="15" customHeight="1">
      <c r="A28" s="25">
        <v>27394</v>
      </c>
      <c r="B28" s="26" t="s">
        <v>22</v>
      </c>
      <c r="C28" s="27" t="s">
        <v>11</v>
      </c>
      <c r="D28" s="28">
        <v>43795</v>
      </c>
      <c r="G28" s="29">
        <v>0</v>
      </c>
    </row>
    <row r="29" spans="1:8" ht="15" customHeight="1">
      <c r="A29" s="25">
        <v>27400</v>
      </c>
      <c r="B29" s="26" t="s">
        <v>22</v>
      </c>
      <c r="C29" s="27" t="s">
        <v>11</v>
      </c>
      <c r="D29" s="28">
        <v>36516</v>
      </c>
      <c r="G29" s="29">
        <v>0</v>
      </c>
      <c r="H29" t="s">
        <v>23</v>
      </c>
    </row>
    <row r="30" spans="1:8" ht="15" customHeight="1">
      <c r="A30" s="25">
        <v>35107</v>
      </c>
      <c r="B30" s="26" t="s">
        <v>24</v>
      </c>
      <c r="C30" s="27" t="s">
        <v>25</v>
      </c>
      <c r="D30" s="28">
        <v>64250</v>
      </c>
      <c r="G30" s="29">
        <v>0</v>
      </c>
      <c r="H30" t="s">
        <v>26</v>
      </c>
    </row>
    <row r="31" spans="1:9" ht="15" customHeight="1">
      <c r="A31" s="25">
        <v>35110</v>
      </c>
      <c r="B31" s="26" t="s">
        <v>27</v>
      </c>
      <c r="C31" s="27" t="s">
        <v>25</v>
      </c>
      <c r="D31" s="28">
        <v>15342.6</v>
      </c>
      <c r="G31" s="29">
        <v>0</v>
      </c>
      <c r="H31" t="s">
        <v>2</v>
      </c>
      <c r="I31" t="s">
        <v>28</v>
      </c>
    </row>
    <row r="32" spans="1:7" ht="15" customHeight="1">
      <c r="A32" s="25">
        <v>35114</v>
      </c>
      <c r="B32" s="26" t="s">
        <v>29</v>
      </c>
      <c r="C32" s="27" t="s">
        <v>25</v>
      </c>
      <c r="D32" s="28">
        <v>99300</v>
      </c>
      <c r="G32" s="29">
        <v>0</v>
      </c>
    </row>
    <row r="33" spans="1:7" ht="15" customHeight="1">
      <c r="A33" s="25">
        <v>35115</v>
      </c>
      <c r="B33" s="26" t="s">
        <v>29</v>
      </c>
      <c r="C33" s="27" t="s">
        <v>25</v>
      </c>
      <c r="D33" s="28">
        <v>99300</v>
      </c>
      <c r="G33" s="29">
        <v>0</v>
      </c>
    </row>
    <row r="34" spans="1:8" ht="15" customHeight="1">
      <c r="A34" s="25">
        <v>35128</v>
      </c>
      <c r="B34" s="26" t="s">
        <v>27</v>
      </c>
      <c r="C34" s="27" t="s">
        <v>25</v>
      </c>
      <c r="D34" s="28">
        <v>16642.72</v>
      </c>
      <c r="G34" s="29">
        <v>0</v>
      </c>
      <c r="H34" t="s">
        <v>23</v>
      </c>
    </row>
    <row r="35" spans="1:7" ht="15" customHeight="1">
      <c r="A35" s="25">
        <v>35130</v>
      </c>
      <c r="B35" s="26" t="s">
        <v>30</v>
      </c>
      <c r="C35" s="27" t="s">
        <v>25</v>
      </c>
      <c r="D35" s="28">
        <v>31400</v>
      </c>
      <c r="G35" s="29">
        <v>0</v>
      </c>
    </row>
    <row r="36" spans="1:8" ht="15" customHeight="1">
      <c r="A36" s="25">
        <v>35133</v>
      </c>
      <c r="B36" s="26" t="s">
        <v>14</v>
      </c>
      <c r="C36" s="27" t="s">
        <v>25</v>
      </c>
      <c r="D36" s="28">
        <v>48150</v>
      </c>
      <c r="G36" s="29">
        <v>0</v>
      </c>
      <c r="H36" t="s">
        <v>31</v>
      </c>
    </row>
    <row r="37" spans="1:9" ht="15" customHeight="1">
      <c r="A37" s="25">
        <v>35136</v>
      </c>
      <c r="B37" s="26" t="s">
        <v>32</v>
      </c>
      <c r="C37" s="27" t="s">
        <v>25</v>
      </c>
      <c r="D37" s="28">
        <v>106017</v>
      </c>
      <c r="G37" s="29">
        <v>0</v>
      </c>
      <c r="I37" t="s">
        <v>33</v>
      </c>
    </row>
    <row r="38" spans="1:8" ht="15" customHeight="1">
      <c r="A38" s="25">
        <v>35137</v>
      </c>
      <c r="B38" s="26" t="s">
        <v>32</v>
      </c>
      <c r="C38" s="27" t="s">
        <v>25</v>
      </c>
      <c r="D38" s="28">
        <v>10704</v>
      </c>
      <c r="G38" s="29">
        <v>0</v>
      </c>
      <c r="H38" t="s">
        <v>23</v>
      </c>
    </row>
    <row r="39" spans="1:7" ht="15" customHeight="1">
      <c r="A39" s="25">
        <v>35138</v>
      </c>
      <c r="B39" s="26" t="s">
        <v>32</v>
      </c>
      <c r="C39" s="27" t="s">
        <v>25</v>
      </c>
      <c r="D39" s="28">
        <v>10704</v>
      </c>
      <c r="G39" s="31">
        <v>0</v>
      </c>
    </row>
    <row r="40" spans="1:7" ht="15" customHeight="1">
      <c r="A40" s="25">
        <v>35139</v>
      </c>
      <c r="B40" s="26" t="s">
        <v>32</v>
      </c>
      <c r="C40" s="27" t="s">
        <v>25</v>
      </c>
      <c r="D40" s="28">
        <v>10704</v>
      </c>
      <c r="G40" s="31">
        <v>0</v>
      </c>
    </row>
    <row r="41" spans="1:7" ht="15" customHeight="1">
      <c r="A41" s="25">
        <v>35140</v>
      </c>
      <c r="B41" s="26" t="s">
        <v>32</v>
      </c>
      <c r="C41" s="27" t="s">
        <v>25</v>
      </c>
      <c r="D41" s="28">
        <v>10704</v>
      </c>
      <c r="G41" s="31">
        <v>0</v>
      </c>
    </row>
    <row r="42" spans="1:7" ht="15" customHeight="1">
      <c r="A42" s="25">
        <v>35141</v>
      </c>
      <c r="B42" s="26" t="s">
        <v>32</v>
      </c>
      <c r="C42" s="27" t="s">
        <v>25</v>
      </c>
      <c r="D42" s="28">
        <v>10704</v>
      </c>
      <c r="G42" s="31">
        <v>0</v>
      </c>
    </row>
    <row r="43" spans="1:7" ht="15" customHeight="1">
      <c r="A43" s="25">
        <v>35142</v>
      </c>
      <c r="B43" s="26" t="s">
        <v>34</v>
      </c>
      <c r="C43" s="27" t="s">
        <v>25</v>
      </c>
      <c r="D43" s="28">
        <v>43500</v>
      </c>
      <c r="G43" s="31">
        <v>0</v>
      </c>
    </row>
    <row r="44" spans="1:7" ht="15" customHeight="1">
      <c r="A44" s="25">
        <v>35161</v>
      </c>
      <c r="B44" s="26" t="s">
        <v>35</v>
      </c>
      <c r="C44" s="27" t="s">
        <v>25</v>
      </c>
      <c r="D44" s="28">
        <v>85876</v>
      </c>
      <c r="G44" s="31">
        <v>0</v>
      </c>
    </row>
    <row r="45" spans="1:7" ht="15" customHeight="1">
      <c r="A45" s="25">
        <v>35146</v>
      </c>
      <c r="B45" s="26" t="s">
        <v>36</v>
      </c>
      <c r="C45" s="27" t="s">
        <v>25</v>
      </c>
      <c r="D45" s="28">
        <v>25280</v>
      </c>
      <c r="G45" s="31">
        <v>0</v>
      </c>
    </row>
    <row r="46" spans="1:7" ht="15" customHeight="1">
      <c r="A46" s="25">
        <v>35153</v>
      </c>
      <c r="B46" s="26" t="s">
        <v>37</v>
      </c>
      <c r="C46" s="27" t="s">
        <v>25</v>
      </c>
      <c r="D46" s="28">
        <v>117000</v>
      </c>
      <c r="G46" s="31">
        <v>0</v>
      </c>
    </row>
    <row r="47" spans="1:7" ht="15" customHeight="1">
      <c r="A47" s="25">
        <v>35166</v>
      </c>
      <c r="B47" s="26" t="s">
        <v>35</v>
      </c>
      <c r="C47" s="27" t="s">
        <v>25</v>
      </c>
      <c r="D47" s="28">
        <v>85876</v>
      </c>
      <c r="G47" s="31">
        <v>0</v>
      </c>
    </row>
    <row r="48" spans="1:7" ht="15" customHeight="1">
      <c r="A48" s="25">
        <v>37114</v>
      </c>
      <c r="B48" s="26" t="s">
        <v>38</v>
      </c>
      <c r="C48" s="27" t="s">
        <v>25</v>
      </c>
      <c r="D48" s="28">
        <v>7780</v>
      </c>
      <c r="G48" s="31">
        <v>0</v>
      </c>
    </row>
    <row r="49" spans="1:7" ht="15" customHeight="1">
      <c r="A49" s="25">
        <v>37136</v>
      </c>
      <c r="B49" s="26" t="s">
        <v>39</v>
      </c>
      <c r="C49" s="27" t="s">
        <v>25</v>
      </c>
      <c r="D49" s="28">
        <v>13992</v>
      </c>
      <c r="G49" s="31">
        <v>0</v>
      </c>
    </row>
    <row r="50" spans="1:7" ht="15" customHeight="1">
      <c r="A50" s="25">
        <v>37159</v>
      </c>
      <c r="B50" s="26" t="s">
        <v>35</v>
      </c>
      <c r="C50" s="27" t="s">
        <v>25</v>
      </c>
      <c r="D50" s="28">
        <v>100376</v>
      </c>
      <c r="G50" s="31">
        <v>0</v>
      </c>
    </row>
    <row r="51" spans="1:7" ht="15" customHeight="1">
      <c r="A51" s="25">
        <v>37162</v>
      </c>
      <c r="B51" s="26" t="s">
        <v>35</v>
      </c>
      <c r="C51" s="27" t="s">
        <v>25</v>
      </c>
      <c r="D51" s="28">
        <v>100376</v>
      </c>
      <c r="G51" s="31">
        <v>0</v>
      </c>
    </row>
    <row r="52" spans="1:7" ht="15" customHeight="1">
      <c r="A52" s="25">
        <v>37168</v>
      </c>
      <c r="B52" s="26" t="s">
        <v>35</v>
      </c>
      <c r="C52" s="27" t="s">
        <v>25</v>
      </c>
      <c r="D52" s="28">
        <v>88983</v>
      </c>
      <c r="G52" s="31">
        <v>0</v>
      </c>
    </row>
    <row r="53" spans="1:7" ht="15" customHeight="1">
      <c r="A53" s="25">
        <v>37165</v>
      </c>
      <c r="B53" s="26" t="s">
        <v>35</v>
      </c>
      <c r="C53" s="27" t="s">
        <v>25</v>
      </c>
      <c r="D53" s="28">
        <v>94992</v>
      </c>
      <c r="G53" s="31">
        <v>0</v>
      </c>
    </row>
    <row r="54" spans="1:7" ht="12.75">
      <c r="A54" s="25">
        <v>37167</v>
      </c>
      <c r="B54" s="26" t="s">
        <v>35</v>
      </c>
      <c r="C54" s="27" t="s">
        <v>25</v>
      </c>
      <c r="D54" s="28">
        <v>97383</v>
      </c>
      <c r="G54" s="31">
        <v>0</v>
      </c>
    </row>
    <row r="55" spans="1:7" ht="12.75">
      <c r="A55" s="32"/>
      <c r="B55" s="33"/>
      <c r="C55" s="34"/>
      <c r="D55" s="35"/>
      <c r="F55" s="31">
        <v>0</v>
      </c>
      <c r="G55" s="31">
        <v>0</v>
      </c>
    </row>
    <row r="56" spans="1:4" ht="12.75">
      <c r="A56" s="32"/>
      <c r="B56" s="33"/>
      <c r="C56" s="34"/>
      <c r="D56" s="35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76"/>
  <sheetViews>
    <sheetView tabSelected="1" zoomScale="75" zoomScaleNormal="75" zoomScalePageLayoutView="0" workbookViewId="0" topLeftCell="AP1">
      <pane ySplit="7" topLeftCell="BM8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45" width="9.140625" style="2" customWidth="1"/>
    <col min="46" max="46" width="14.8515625" style="2" customWidth="1"/>
    <col min="47" max="47" width="15.00390625" style="2" customWidth="1"/>
    <col min="48" max="48" width="14.140625" style="2" customWidth="1"/>
    <col min="49" max="49" width="14.28125" style="2" customWidth="1"/>
    <col min="50" max="50" width="13.00390625" style="2" customWidth="1"/>
    <col min="51" max="51" width="15.8515625" style="2" customWidth="1"/>
    <col min="52" max="52" width="16.7109375" style="2" customWidth="1"/>
    <col min="53" max="53" width="14.28125" style="2" customWidth="1"/>
    <col min="54" max="130" width="9.140625" style="2" customWidth="1"/>
  </cols>
  <sheetData>
    <row r="1" spans="1:39" ht="12.75">
      <c r="A1" s="192" t="s">
        <v>117</v>
      </c>
      <c r="K1" s="8"/>
      <c r="L1" s="8"/>
      <c r="N1" s="8"/>
      <c r="P1" s="242">
        <v>3414164.27</v>
      </c>
      <c r="Q1" s="246">
        <v>828885.6</v>
      </c>
      <c r="R1" s="246">
        <v>3725356.94</v>
      </c>
      <c r="S1" s="246">
        <v>2027936.06</v>
      </c>
      <c r="T1" s="246">
        <v>2115759.09</v>
      </c>
      <c r="U1" s="242">
        <v>102521.47</v>
      </c>
      <c r="V1" s="247">
        <v>940008.58</v>
      </c>
      <c r="W1" s="247">
        <v>384579.03</v>
      </c>
      <c r="X1" s="99">
        <v>13485980.830000002</v>
      </c>
      <c r="AM1" s="8">
        <f>SUM(AE1:AL1)</f>
        <v>0</v>
      </c>
    </row>
    <row r="2" spans="11:43" ht="12.75">
      <c r="K2" s="8"/>
      <c r="L2" s="8"/>
      <c r="N2" s="8"/>
      <c r="P2" s="67">
        <f>P1/$X$1</f>
        <v>0.2531639569296347</v>
      </c>
      <c r="Q2" s="67">
        <f aca="true" t="shared" si="0" ref="Q2:W2">Q1/$X$1</f>
        <v>0.061462759768730876</v>
      </c>
      <c r="R2" s="67">
        <f>R1/$X$1</f>
        <v>0.27623922849666394</v>
      </c>
      <c r="S2" s="67">
        <f t="shared" si="0"/>
        <v>0.15037364249315782</v>
      </c>
      <c r="T2" s="67">
        <f t="shared" si="0"/>
        <v>0.1568858147338772</v>
      </c>
      <c r="U2" s="67">
        <f t="shared" si="0"/>
        <v>0.00760207739372858</v>
      </c>
      <c r="V2" s="67">
        <f t="shared" si="0"/>
        <v>0.06970264839090683</v>
      </c>
      <c r="W2" s="67">
        <f t="shared" si="0"/>
        <v>0.028516949182108543</v>
      </c>
      <c r="X2" s="68">
        <f>SUM(P2:W2)</f>
        <v>1.0039470773888084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196">
        <v>3051000</v>
      </c>
      <c r="Y3" s="196">
        <f>(3647000*50%)+341000</f>
        <v>2164500</v>
      </c>
      <c r="Z3" s="196">
        <f>3647000*50%</f>
        <v>1823500</v>
      </c>
      <c r="AA3" s="196">
        <f>SUM(X3:Z3)</f>
        <v>7039000</v>
      </c>
      <c r="AB3" s="196">
        <f>11126000-3875000</f>
        <v>7251000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53" ht="12.75">
      <c r="A4" s="58" t="s">
        <v>161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41"/>
      <c r="Y4" s="41"/>
      <c r="Z4" s="41"/>
      <c r="AA4" s="41"/>
      <c r="AB4" s="41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  <c r="AT4" s="10"/>
      <c r="AU4" s="10"/>
      <c r="AV4" s="10"/>
      <c r="AW4" s="10"/>
      <c r="AX4" s="10"/>
      <c r="AY4" s="10"/>
      <c r="AZ4" s="10"/>
      <c r="BA4" s="11"/>
    </row>
    <row r="5" spans="1:53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20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21</v>
      </c>
      <c r="AN5" s="41"/>
      <c r="AO5" s="41"/>
      <c r="AP5" s="41"/>
      <c r="AQ5" s="41"/>
      <c r="AR5" s="70"/>
      <c r="AT5" s="12"/>
      <c r="AU5" s="12"/>
      <c r="AV5" s="12"/>
      <c r="AW5" s="12"/>
      <c r="AX5" s="13" t="s">
        <v>210</v>
      </c>
      <c r="AY5" s="12"/>
      <c r="AZ5" s="12"/>
      <c r="BA5" s="14"/>
    </row>
    <row r="6" spans="1:53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  <c r="AT6" s="15"/>
      <c r="AU6" s="15"/>
      <c r="AV6" s="15"/>
      <c r="AW6" s="12"/>
      <c r="AX6" s="12"/>
      <c r="AY6" s="12"/>
      <c r="AZ6" s="12"/>
      <c r="BA6" s="14"/>
    </row>
    <row r="7" spans="1:53" ht="25.5">
      <c r="A7" s="221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204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204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204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  <c r="AT7" s="1" t="s">
        <v>43</v>
      </c>
      <c r="AU7" s="1" t="s">
        <v>40</v>
      </c>
      <c r="AV7" s="1" t="s">
        <v>41</v>
      </c>
      <c r="AW7" s="1" t="s">
        <v>45</v>
      </c>
      <c r="AX7" s="1" t="s">
        <v>46</v>
      </c>
      <c r="AY7" s="1" t="s">
        <v>44</v>
      </c>
      <c r="AZ7" s="1" t="s">
        <v>42</v>
      </c>
      <c r="BA7" s="59" t="s">
        <v>204</v>
      </c>
    </row>
    <row r="8" spans="1:44" s="206" customFormat="1" ht="12.75">
      <c r="A8" s="199">
        <f>'[3]MONTH3'!$A2</f>
        <v>39508</v>
      </c>
      <c r="B8" s="200">
        <f>'[3]MONTH3'!B2</f>
        <v>983.18</v>
      </c>
      <c r="C8" s="200">
        <f>'[3]MONTH3'!C2</f>
        <v>7111</v>
      </c>
      <c r="D8" s="200">
        <f>'[3]MONTH3'!D2</f>
        <v>16063.79</v>
      </c>
      <c r="E8" s="200">
        <f>'[3]MONTH3'!E2</f>
        <v>12739.46</v>
      </c>
      <c r="F8" s="200">
        <f>'[3]MONTH3'!F2</f>
        <v>9095.76</v>
      </c>
      <c r="G8" s="200">
        <f>'[3]MONTH3'!G2</f>
        <v>0</v>
      </c>
      <c r="H8" s="200">
        <f>'[3]MONTH3'!H2</f>
        <v>3142.49</v>
      </c>
      <c r="I8" s="200">
        <f>'[3]MONTH3'!I2</f>
        <v>8.01</v>
      </c>
      <c r="J8" s="200">
        <f>'[3]MONTH3'!J2</f>
        <v>13515.380000000005</v>
      </c>
      <c r="K8" s="201">
        <f>'[3]MONTH3'!J2</f>
        <v>13515.380000000005</v>
      </c>
      <c r="L8" s="201">
        <f>'[3]MONTH3'!K2</f>
        <v>47137</v>
      </c>
      <c r="M8" s="202">
        <f aca="true" t="shared" si="1" ref="M8:M14">SUM(J8:L8)</f>
        <v>74167.76000000001</v>
      </c>
      <c r="N8" s="202">
        <v>0</v>
      </c>
      <c r="O8" s="203" t="e">
        <f aca="true" t="shared" si="2" ref="O8:O14">M8/N8</f>
        <v>#DIV/0!</v>
      </c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4"/>
      <c r="AD8" s="205"/>
      <c r="AE8" s="202"/>
      <c r="AF8" s="200"/>
      <c r="AG8" s="200"/>
      <c r="AH8" s="200"/>
      <c r="AI8" s="200"/>
      <c r="AJ8" s="200"/>
      <c r="AK8" s="200"/>
      <c r="AL8" s="200"/>
      <c r="AM8" s="226"/>
      <c r="AN8" s="226"/>
      <c r="AO8" s="226"/>
      <c r="AP8" s="226"/>
      <c r="AQ8" s="226"/>
      <c r="AR8" s="226"/>
    </row>
    <row r="9" spans="1:44" s="206" customFormat="1" ht="12.75">
      <c r="A9" s="199">
        <f>'[3]MONTH3'!$A3</f>
        <v>39509</v>
      </c>
      <c r="B9" s="200">
        <f>'[3]MONTH3'!B3</f>
        <v>318.8</v>
      </c>
      <c r="C9" s="200">
        <f>'[3]MONTH3'!C3</f>
        <v>9640.14</v>
      </c>
      <c r="D9" s="200">
        <f>'[3]MONTH3'!D3</f>
        <v>10776.14</v>
      </c>
      <c r="E9" s="200">
        <f>'[3]MONTH3'!E3</f>
        <v>5310.21</v>
      </c>
      <c r="F9" s="200">
        <f>'[3]MONTH3'!F3</f>
        <v>7917.53</v>
      </c>
      <c r="G9" s="200">
        <f>'[3]MONTH3'!G3</f>
        <v>0</v>
      </c>
      <c r="H9" s="200">
        <f>'[3]MONTH3'!H3</f>
        <v>0</v>
      </c>
      <c r="I9" s="200">
        <f>'[3]MONTH3'!I3</f>
        <v>120.17</v>
      </c>
      <c r="J9" s="200">
        <f>'[3]MONTH3'!J3</f>
        <v>16480.090000000004</v>
      </c>
      <c r="K9" s="201">
        <f>'[3]MONTH3'!J3</f>
        <v>16480.090000000004</v>
      </c>
      <c r="L9" s="201">
        <f>'[3]MONTH3'!K3</f>
        <v>30878</v>
      </c>
      <c r="M9" s="202">
        <f t="shared" si="1"/>
        <v>63838.18000000001</v>
      </c>
      <c r="N9" s="202">
        <v>0</v>
      </c>
      <c r="O9" s="203" t="e">
        <f t="shared" si="2"/>
        <v>#DIV/0!</v>
      </c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4"/>
      <c r="AD9" s="205"/>
      <c r="AE9" s="202"/>
      <c r="AF9" s="200"/>
      <c r="AG9" s="200"/>
      <c r="AH9" s="200"/>
      <c r="AI9" s="200"/>
      <c r="AJ9" s="200"/>
      <c r="AK9" s="200"/>
      <c r="AL9" s="200"/>
      <c r="AM9" s="226"/>
      <c r="AN9" s="226"/>
      <c r="AO9" s="226"/>
      <c r="AP9" s="226"/>
      <c r="AQ9" s="226"/>
      <c r="AR9" s="226" t="e">
        <f>O9-AC9</f>
        <v>#DIV/0!</v>
      </c>
    </row>
    <row r="10" spans="1:53" s="60" customFormat="1" ht="12.75">
      <c r="A10" s="89">
        <f>'[3]MONTH3'!$A4</f>
        <v>39510</v>
      </c>
      <c r="B10" s="51">
        <f>'[3]MONTH3'!B4</f>
        <v>33414.69</v>
      </c>
      <c r="C10" s="51">
        <f>'[3]MONTH3'!C4</f>
        <v>6267.85</v>
      </c>
      <c r="D10" s="51">
        <f>'[3]MONTH3'!D4</f>
        <v>48618.69</v>
      </c>
      <c r="E10" s="51">
        <f>'[3]MONTH3'!E4</f>
        <v>24672.81</v>
      </c>
      <c r="F10" s="51">
        <f>'[3]MONTH3'!F4</f>
        <v>20336.34</v>
      </c>
      <c r="G10" s="51">
        <f>'[3]MONTH3'!G4</f>
        <v>1256.44</v>
      </c>
      <c r="H10" s="51">
        <f>'[3]MONTH3'!H4</f>
        <v>10080.93</v>
      </c>
      <c r="I10" s="52">
        <f>'[4]MONTH3'!I4</f>
        <v>3661.5</v>
      </c>
      <c r="J10" s="78">
        <f>SUM(B10:I10)</f>
        <v>148309.25</v>
      </c>
      <c r="K10" s="52">
        <f>'[3]MONTH3'!J4</f>
        <v>106184.64000000012</v>
      </c>
      <c r="L10" s="52">
        <f>'[3]MONTH3'!K4</f>
        <v>139070</v>
      </c>
      <c r="M10" s="78">
        <f t="shared" si="1"/>
        <v>393563.89000000013</v>
      </c>
      <c r="N10" s="78">
        <v>378817</v>
      </c>
      <c r="O10" s="64">
        <f t="shared" si="2"/>
        <v>1.0389287967541059</v>
      </c>
      <c r="P10" s="78">
        <f>$X$3/$X$5*($P$1/$X$1)</f>
        <v>38620.16162961578</v>
      </c>
      <c r="Q10" s="78">
        <f aca="true" t="shared" si="3" ref="Q10:Q35">$X$3/$X$5*($Q$1/$X$1)</f>
        <v>9376.144002719895</v>
      </c>
      <c r="R10" s="78">
        <f aca="true" t="shared" si="4" ref="R10:R35">$X$3/$X$5*($R$1/$X$1)</f>
        <v>42140.294307166085</v>
      </c>
      <c r="S10" s="78">
        <f aca="true" t="shared" si="5" ref="S10:S35">$X$3/$X$5*($S$1/$X$1)</f>
        <v>22939.499162331227</v>
      </c>
      <c r="T10" s="78">
        <f aca="true" t="shared" si="6" ref="T10:T35">$X$3/$X$5*($T$1/$X$1)</f>
        <v>23932.931037652965</v>
      </c>
      <c r="U10" s="78">
        <f aca="true" t="shared" si="7" ref="U10:U35">$X$3/$X$5*($U$1/$X$1)</f>
        <v>1159.6969064132948</v>
      </c>
      <c r="V10" s="78">
        <f aca="true" t="shared" si="8" ref="V10:V35">$X$3/$X$5*($V$1/$X$1)</f>
        <v>10633.139012032836</v>
      </c>
      <c r="W10" s="78">
        <f>$X$3/$X$5*($W$1/$X$1)</f>
        <v>4350.260597730658</v>
      </c>
      <c r="X10" s="78">
        <f>SUM(P10:W10)</f>
        <v>153152.12665566275</v>
      </c>
      <c r="Y10" s="78">
        <f>$Y$3/$X$5</f>
        <v>108225</v>
      </c>
      <c r="Z10" s="78">
        <f aca="true" t="shared" si="9" ref="Z10:Z38">$Z$3/$X$5</f>
        <v>91175</v>
      </c>
      <c r="AA10" s="78">
        <f>SUM(X10:Z10)</f>
        <v>352552.1266556628</v>
      </c>
      <c r="AB10" s="78">
        <f>$AB$3/$X$5</f>
        <v>362550</v>
      </c>
      <c r="AC10" s="76">
        <f>AA10/AB10</f>
        <v>0.9724234633999801</v>
      </c>
      <c r="AD10" s="77"/>
      <c r="AE10" s="78">
        <f aca="true" t="shared" si="10" ref="AE10:AL14">B10-P10</f>
        <v>-5205.4716296157785</v>
      </c>
      <c r="AF10" s="51">
        <f t="shared" si="10"/>
        <v>-3108.2940027198947</v>
      </c>
      <c r="AG10" s="51">
        <f t="shared" si="10"/>
        <v>6478.395692833918</v>
      </c>
      <c r="AH10" s="51">
        <f t="shared" si="10"/>
        <v>1733.3108376687742</v>
      </c>
      <c r="AI10" s="51">
        <f t="shared" si="10"/>
        <v>-3596.5910376529646</v>
      </c>
      <c r="AJ10" s="51">
        <f t="shared" si="10"/>
        <v>96.7430935867053</v>
      </c>
      <c r="AK10" s="51">
        <f t="shared" si="10"/>
        <v>-552.2090120328357</v>
      </c>
      <c r="AL10" s="51">
        <f t="shared" si="10"/>
        <v>-688.7605977306584</v>
      </c>
      <c r="AM10" s="96">
        <f>SUM(AE10:AL10)</f>
        <v>-4842.876655662735</v>
      </c>
      <c r="AN10" s="96">
        <f aca="true" t="shared" si="11" ref="AN10:AO14">K10-Y10</f>
        <v>-2040.3599999998842</v>
      </c>
      <c r="AO10" s="96">
        <f t="shared" si="11"/>
        <v>47895</v>
      </c>
      <c r="AP10" s="96">
        <f>SUM(AM10:AO10)</f>
        <v>41011.76334433738</v>
      </c>
      <c r="AQ10" s="96">
        <f>N10-AB10</f>
        <v>16267</v>
      </c>
      <c r="AR10" s="78"/>
      <c r="AT10" s="252">
        <f>B10/P10</f>
        <v>0.8652136239216571</v>
      </c>
      <c r="AU10" s="252">
        <f aca="true" t="shared" si="12" ref="AU10:BA14">C10/Q10</f>
        <v>0.6684890929770042</v>
      </c>
      <c r="AV10" s="252">
        <f t="shared" si="12"/>
        <v>1.1537339925917947</v>
      </c>
      <c r="AW10" s="252">
        <f t="shared" si="12"/>
        <v>1.0755600994338634</v>
      </c>
      <c r="AX10" s="252">
        <f t="shared" si="12"/>
        <v>0.8497220824313346</v>
      </c>
      <c r="AY10" s="252">
        <f t="shared" si="12"/>
        <v>1.0834210154840473</v>
      </c>
      <c r="AZ10" s="252">
        <f t="shared" si="12"/>
        <v>0.9480671689321529</v>
      </c>
      <c r="BA10" s="252">
        <f t="shared" si="12"/>
        <v>0.8416737153424889</v>
      </c>
    </row>
    <row r="11" spans="1:53" s="60" customFormat="1" ht="12.75">
      <c r="A11" s="89">
        <f>'[3]MONTH3'!$A5</f>
        <v>39511</v>
      </c>
      <c r="B11" s="51">
        <f>'[3]MONTH3'!B5</f>
        <v>35751.77</v>
      </c>
      <c r="C11" s="51">
        <f>'[3]MONTH3'!C5</f>
        <v>5047.5</v>
      </c>
      <c r="D11" s="51">
        <f>'[3]MONTH3'!D5</f>
        <v>47290.58</v>
      </c>
      <c r="E11" s="51">
        <f>'[3]MONTH3'!E5</f>
        <v>24304.33</v>
      </c>
      <c r="F11" s="51">
        <f>'[3]MONTH3'!F5</f>
        <v>21511.39</v>
      </c>
      <c r="G11" s="51">
        <f>'[3]MONTH3'!G5</f>
        <v>1067.7</v>
      </c>
      <c r="H11" s="51">
        <f>'[3]MONTH3'!H5</f>
        <v>9801.7</v>
      </c>
      <c r="I11" s="52">
        <f>'[4]MONTH3'!I5</f>
        <v>4206.41</v>
      </c>
      <c r="J11" s="78">
        <f>SUM(B11:I11)</f>
        <v>148981.38000000003</v>
      </c>
      <c r="K11" s="52">
        <f>'[3]MONTH3'!J5</f>
        <v>70566.96999999999</v>
      </c>
      <c r="L11" s="52">
        <f>'[3]MONTH3'!K5</f>
        <v>143401</v>
      </c>
      <c r="M11" s="78">
        <f t="shared" si="1"/>
        <v>362949.35000000003</v>
      </c>
      <c r="N11" s="78">
        <v>152179</v>
      </c>
      <c r="O11" s="64">
        <f t="shared" si="2"/>
        <v>2.3850160008936845</v>
      </c>
      <c r="P11" s="78">
        <f>$X$3/$X$5*($P$1/$X$1)</f>
        <v>38620.16162961578</v>
      </c>
      <c r="Q11" s="78">
        <f t="shared" si="3"/>
        <v>9376.144002719895</v>
      </c>
      <c r="R11" s="78">
        <f t="shared" si="4"/>
        <v>42140.294307166085</v>
      </c>
      <c r="S11" s="78">
        <f t="shared" si="5"/>
        <v>22939.499162331227</v>
      </c>
      <c r="T11" s="78">
        <f t="shared" si="6"/>
        <v>23932.931037652965</v>
      </c>
      <c r="U11" s="78">
        <f t="shared" si="7"/>
        <v>1159.6969064132948</v>
      </c>
      <c r="V11" s="78">
        <f t="shared" si="8"/>
        <v>10633.139012032836</v>
      </c>
      <c r="W11" s="78">
        <f aca="true" t="shared" si="13" ref="W11:W35">$X$3/$X$5*($W$1/$X$1)</f>
        <v>4350.260597730658</v>
      </c>
      <c r="X11" s="78">
        <f>SUM(P11:W11)</f>
        <v>153152.12665566275</v>
      </c>
      <c r="Y11" s="78">
        <f aca="true" t="shared" si="14" ref="Y11:Y35">$Y$3/$X$5</f>
        <v>108225</v>
      </c>
      <c r="Z11" s="78">
        <f t="shared" si="9"/>
        <v>91175</v>
      </c>
      <c r="AA11" s="78">
        <f>SUM(X11:Z11)</f>
        <v>352552.1266556628</v>
      </c>
      <c r="AB11" s="78">
        <f aca="true" t="shared" si="15" ref="AB11:AB38">$AB$3/$X$5</f>
        <v>362550</v>
      </c>
      <c r="AC11" s="76">
        <f>AA11/AB11</f>
        <v>0.9724234633999801</v>
      </c>
      <c r="AD11" s="77"/>
      <c r="AE11" s="78">
        <f t="shared" si="10"/>
        <v>-2868.391629615784</v>
      </c>
      <c r="AF11" s="51">
        <f t="shared" si="10"/>
        <v>-4328.644002719895</v>
      </c>
      <c r="AG11" s="51">
        <f t="shared" si="10"/>
        <v>5150.285692833917</v>
      </c>
      <c r="AH11" s="51">
        <f t="shared" si="10"/>
        <v>1364.8308376687746</v>
      </c>
      <c r="AI11" s="51">
        <f t="shared" si="10"/>
        <v>-2421.5410376529653</v>
      </c>
      <c r="AJ11" s="51">
        <f t="shared" si="10"/>
        <v>-91.99690641329471</v>
      </c>
      <c r="AK11" s="51">
        <f t="shared" si="10"/>
        <v>-831.4390120328353</v>
      </c>
      <c r="AL11" s="51">
        <f t="shared" si="10"/>
        <v>-143.8505977306586</v>
      </c>
      <c r="AM11" s="78">
        <f>SUM(AE11:AL11)</f>
        <v>-4170.746655662741</v>
      </c>
      <c r="AN11" s="78">
        <f t="shared" si="11"/>
        <v>-37658.03000000001</v>
      </c>
      <c r="AO11" s="78">
        <f t="shared" si="11"/>
        <v>52226</v>
      </c>
      <c r="AP11" s="78">
        <f>SUM(AM11:AO11)</f>
        <v>10397.223344337246</v>
      </c>
      <c r="AQ11" s="78">
        <f>N11-AB11</f>
        <v>-210371</v>
      </c>
      <c r="AR11" s="78">
        <f>AP11/AQ11</f>
        <v>-0.04942327290518772</v>
      </c>
      <c r="AT11" s="252">
        <f>B11/P11</f>
        <v>0.9257281298528754</v>
      </c>
      <c r="AU11" s="252">
        <f t="shared" si="12"/>
        <v>0.538334308702574</v>
      </c>
      <c r="AV11" s="252">
        <f t="shared" si="12"/>
        <v>1.1222176014076413</v>
      </c>
      <c r="AW11" s="252">
        <f t="shared" si="12"/>
        <v>1.0594969762857749</v>
      </c>
      <c r="AX11" s="252">
        <f t="shared" si="12"/>
        <v>0.8988197043712186</v>
      </c>
      <c r="AY11" s="252">
        <f t="shared" si="12"/>
        <v>0.920671594530831</v>
      </c>
      <c r="AZ11" s="252">
        <f t="shared" si="12"/>
        <v>0.9218068144231022</v>
      </c>
      <c r="BA11" s="252">
        <f t="shared" si="12"/>
        <v>0.9669328780428237</v>
      </c>
    </row>
    <row r="12" spans="1:62" s="95" customFormat="1" ht="12.75">
      <c r="A12" s="89">
        <f>'[3]MONTH3'!$A6</f>
        <v>39512</v>
      </c>
      <c r="B12" s="51">
        <f>'[3]MONTH3'!B6</f>
        <v>35728.66</v>
      </c>
      <c r="C12" s="51">
        <f>'[3]MONTH3'!C6</f>
        <v>5579.99</v>
      </c>
      <c r="D12" s="51">
        <f>'[3]MONTH3'!D6</f>
        <v>45829.9</v>
      </c>
      <c r="E12" s="51">
        <f>'[3]MONTH3'!E6</f>
        <v>24237.13</v>
      </c>
      <c r="F12" s="51">
        <f>'[3]MONTH3'!F6</f>
        <v>22652.72</v>
      </c>
      <c r="G12" s="51">
        <f>'[3]MONTH3'!G6</f>
        <v>1056.43</v>
      </c>
      <c r="H12" s="51">
        <f>'[3]MONTH3'!H6</f>
        <v>6879.64</v>
      </c>
      <c r="I12" s="52">
        <f>'[4]MONTH3'!I6</f>
        <v>3076.62</v>
      </c>
      <c r="J12" s="78">
        <f>SUM(B12:I12)</f>
        <v>145041.09000000003</v>
      </c>
      <c r="K12" s="52">
        <f>'[3]MONTH3'!J6</f>
        <v>69957.87999999993</v>
      </c>
      <c r="L12" s="52">
        <f>'[3]MONTH3'!K6</f>
        <v>133967</v>
      </c>
      <c r="M12" s="78">
        <f t="shared" si="1"/>
        <v>348965.97</v>
      </c>
      <c r="N12" s="78">
        <v>235792</v>
      </c>
      <c r="O12" s="64">
        <f t="shared" si="2"/>
        <v>1.479973748049128</v>
      </c>
      <c r="P12" s="78">
        <f>$X$3/$X$5*($P$1/$X$1)</f>
        <v>38620.16162961578</v>
      </c>
      <c r="Q12" s="78">
        <f t="shared" si="3"/>
        <v>9376.144002719895</v>
      </c>
      <c r="R12" s="78">
        <f t="shared" si="4"/>
        <v>42140.294307166085</v>
      </c>
      <c r="S12" s="78">
        <f t="shared" si="5"/>
        <v>22939.499162331227</v>
      </c>
      <c r="T12" s="78">
        <f t="shared" si="6"/>
        <v>23932.931037652965</v>
      </c>
      <c r="U12" s="78">
        <f t="shared" si="7"/>
        <v>1159.6969064132948</v>
      </c>
      <c r="V12" s="78">
        <f t="shared" si="8"/>
        <v>10633.139012032836</v>
      </c>
      <c r="W12" s="78">
        <f t="shared" si="13"/>
        <v>4350.260597730658</v>
      </c>
      <c r="X12" s="78">
        <f>SUM(P12:W12)</f>
        <v>153152.12665566275</v>
      </c>
      <c r="Y12" s="78">
        <f t="shared" si="14"/>
        <v>108225</v>
      </c>
      <c r="Z12" s="78">
        <f t="shared" si="9"/>
        <v>91175</v>
      </c>
      <c r="AA12" s="78">
        <f>SUM(X12:Z12)</f>
        <v>352552.1266556628</v>
      </c>
      <c r="AB12" s="78">
        <f t="shared" si="15"/>
        <v>362550</v>
      </c>
      <c r="AC12" s="76">
        <f>AA12/AB12</f>
        <v>0.9724234633999801</v>
      </c>
      <c r="AD12" s="77"/>
      <c r="AE12" s="78">
        <f t="shared" si="10"/>
        <v>-2891.5016296157773</v>
      </c>
      <c r="AF12" s="51">
        <f t="shared" si="10"/>
        <v>-3796.1540027198953</v>
      </c>
      <c r="AG12" s="51">
        <f t="shared" si="10"/>
        <v>3689.6056928339167</v>
      </c>
      <c r="AH12" s="51">
        <f t="shared" si="10"/>
        <v>1297.630837668774</v>
      </c>
      <c r="AI12" s="51">
        <f t="shared" si="10"/>
        <v>-1280.2110376529636</v>
      </c>
      <c r="AJ12" s="51">
        <f t="shared" si="10"/>
        <v>-103.26690641329469</v>
      </c>
      <c r="AK12" s="51">
        <f t="shared" si="10"/>
        <v>-3753.4990120328357</v>
      </c>
      <c r="AL12" s="51">
        <f t="shared" si="10"/>
        <v>-1273.6405977306586</v>
      </c>
      <c r="AM12" s="78">
        <f>SUM(AE12:AL12)</f>
        <v>-8111.036655662734</v>
      </c>
      <c r="AN12" s="78">
        <f t="shared" si="11"/>
        <v>-38267.12000000007</v>
      </c>
      <c r="AO12" s="78">
        <f t="shared" si="11"/>
        <v>42792</v>
      </c>
      <c r="AP12" s="78">
        <f>SUM(AM12:AO12)</f>
        <v>-3586.156655662802</v>
      </c>
      <c r="AQ12" s="78">
        <f>N12-AB12</f>
        <v>-126758</v>
      </c>
      <c r="AR12" s="78">
        <f>AP12/AQ12</f>
        <v>0.028291363508913064</v>
      </c>
      <c r="AS12" s="60"/>
      <c r="AT12" s="252">
        <f>B12/P12</f>
        <v>0.9251297377430333</v>
      </c>
      <c r="AU12" s="252">
        <f t="shared" si="12"/>
        <v>0.5951263118805896</v>
      </c>
      <c r="AV12" s="252">
        <f t="shared" si="12"/>
        <v>1.0875552900969296</v>
      </c>
      <c r="AW12" s="252">
        <f t="shared" si="12"/>
        <v>1.0565675313347558</v>
      </c>
      <c r="AX12" s="252">
        <f t="shared" si="12"/>
        <v>0.9465083889792334</v>
      </c>
      <c r="AY12" s="252">
        <f t="shared" si="12"/>
        <v>0.910953538082051</v>
      </c>
      <c r="AZ12" s="252">
        <f t="shared" si="12"/>
        <v>0.6469999115232817</v>
      </c>
      <c r="BA12" s="252">
        <f t="shared" si="12"/>
        <v>0.7072265973226842</v>
      </c>
      <c r="BB12" s="60"/>
      <c r="BC12" s="60"/>
      <c r="BD12" s="60"/>
      <c r="BE12" s="60"/>
      <c r="BF12" s="60"/>
      <c r="BG12" s="60"/>
      <c r="BH12" s="60"/>
      <c r="BI12" s="60"/>
      <c r="BJ12" s="60"/>
    </row>
    <row r="13" spans="1:62" s="95" customFormat="1" ht="12.75">
      <c r="A13" s="89">
        <f>'[3]MONTH3'!$A7</f>
        <v>39513</v>
      </c>
      <c r="B13" s="51">
        <f>'[3]MONTH3'!B7</f>
        <v>34799.43</v>
      </c>
      <c r="C13" s="51">
        <f>'[3]MONTH3'!C7</f>
        <v>5036.47</v>
      </c>
      <c r="D13" s="51">
        <f>'[3]MONTH3'!D7</f>
        <v>39562.29</v>
      </c>
      <c r="E13" s="51">
        <f>'[3]MONTH3'!E7</f>
        <v>23708.93</v>
      </c>
      <c r="F13" s="51">
        <f>'[3]MONTH3'!F7</f>
        <v>21423.98</v>
      </c>
      <c r="G13" s="51">
        <f>'[3]MONTH3'!G7</f>
        <v>994.45</v>
      </c>
      <c r="H13" s="51">
        <f>'[3]MONTH3'!H7</f>
        <v>8421.52</v>
      </c>
      <c r="I13" s="52">
        <f>'[4]MONTH3'!I7</f>
        <v>3405.11</v>
      </c>
      <c r="J13" s="78">
        <f>SUM(B13:I13)</f>
        <v>137352.17999999996</v>
      </c>
      <c r="K13" s="52">
        <f>'[3]MONTH3'!J7</f>
        <v>91083.03999999996</v>
      </c>
      <c r="L13" s="52">
        <f>'[3]MONTH3'!K7</f>
        <v>88322</v>
      </c>
      <c r="M13" s="78">
        <f t="shared" si="1"/>
        <v>316757.2199999999</v>
      </c>
      <c r="N13" s="78">
        <v>185930</v>
      </c>
      <c r="O13" s="64">
        <f t="shared" si="2"/>
        <v>1.703636960146291</v>
      </c>
      <c r="P13" s="78">
        <f>$X$3/$X$5*($P$1/$X$1)</f>
        <v>38620.16162961578</v>
      </c>
      <c r="Q13" s="78">
        <f t="shared" si="3"/>
        <v>9376.144002719895</v>
      </c>
      <c r="R13" s="78">
        <f t="shared" si="4"/>
        <v>42140.294307166085</v>
      </c>
      <c r="S13" s="78">
        <f t="shared" si="5"/>
        <v>22939.499162331227</v>
      </c>
      <c r="T13" s="78">
        <f t="shared" si="6"/>
        <v>23932.931037652965</v>
      </c>
      <c r="U13" s="78">
        <f t="shared" si="7"/>
        <v>1159.6969064132948</v>
      </c>
      <c r="V13" s="78">
        <f t="shared" si="8"/>
        <v>10633.139012032836</v>
      </c>
      <c r="W13" s="78">
        <f t="shared" si="13"/>
        <v>4350.260597730658</v>
      </c>
      <c r="X13" s="78">
        <f>SUM(P13:W13)</f>
        <v>153152.12665566275</v>
      </c>
      <c r="Y13" s="78">
        <f t="shared" si="14"/>
        <v>108225</v>
      </c>
      <c r="Z13" s="78">
        <f t="shared" si="9"/>
        <v>91175</v>
      </c>
      <c r="AA13" s="78">
        <f>SUM(X13:Z13)</f>
        <v>352552.1266556628</v>
      </c>
      <c r="AB13" s="78">
        <f t="shared" si="15"/>
        <v>362550</v>
      </c>
      <c r="AC13" s="76">
        <f>AA13/AB13</f>
        <v>0.9724234633999801</v>
      </c>
      <c r="AD13" s="77"/>
      <c r="AE13" s="78">
        <f t="shared" si="10"/>
        <v>-3820.7316296157805</v>
      </c>
      <c r="AF13" s="51">
        <f t="shared" si="10"/>
        <v>-4339.674002719895</v>
      </c>
      <c r="AG13" s="51">
        <f t="shared" si="10"/>
        <v>-2578.004307166084</v>
      </c>
      <c r="AH13" s="51">
        <f t="shared" si="10"/>
        <v>769.4308376687732</v>
      </c>
      <c r="AI13" s="51">
        <f t="shared" si="10"/>
        <v>-2508.951037652965</v>
      </c>
      <c r="AJ13" s="51">
        <f t="shared" si="10"/>
        <v>-165.2469064132947</v>
      </c>
      <c r="AK13" s="51">
        <f t="shared" si="10"/>
        <v>-2211.6190120328356</v>
      </c>
      <c r="AL13" s="51">
        <f t="shared" si="10"/>
        <v>-945.1505977306583</v>
      </c>
      <c r="AM13" s="78">
        <f>SUM(AE13:AL13)</f>
        <v>-15799.94665566274</v>
      </c>
      <c r="AN13" s="78">
        <f t="shared" si="11"/>
        <v>-17141.960000000036</v>
      </c>
      <c r="AO13" s="78">
        <f t="shared" si="11"/>
        <v>-2853</v>
      </c>
      <c r="AP13" s="78">
        <f>SUM(AM13:AO13)</f>
        <v>-35794.90665566277</v>
      </c>
      <c r="AQ13" s="78">
        <f>N13-AB13</f>
        <v>-176620</v>
      </c>
      <c r="AR13" s="78">
        <f>AP13/AQ13</f>
        <v>0.20266621365452822</v>
      </c>
      <c r="AS13" s="60"/>
      <c r="AT13" s="252">
        <f>B13/P13</f>
        <v>0.9010689891394483</v>
      </c>
      <c r="AU13" s="252">
        <f t="shared" si="12"/>
        <v>0.5371579189205058</v>
      </c>
      <c r="AV13" s="252">
        <f t="shared" si="12"/>
        <v>0.9388232960981555</v>
      </c>
      <c r="AW13" s="252">
        <f t="shared" si="12"/>
        <v>1.0335417452762983</v>
      </c>
      <c r="AX13" s="252">
        <f t="shared" si="12"/>
        <v>0.8951674145675802</v>
      </c>
      <c r="AY13" s="252">
        <f t="shared" si="12"/>
        <v>0.8575085390851221</v>
      </c>
      <c r="AZ13" s="252">
        <f t="shared" si="12"/>
        <v>0.7920069502025612</v>
      </c>
      <c r="BA13" s="252">
        <f t="shared" si="12"/>
        <v>0.7827370162091664</v>
      </c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53" s="60" customFormat="1" ht="14.25" customHeight="1">
      <c r="A14" s="89">
        <f>'[3]MONTH3'!$A8</f>
        <v>39514</v>
      </c>
      <c r="B14" s="51">
        <f>'[3]MONTH3'!B8</f>
        <v>38782.52</v>
      </c>
      <c r="C14" s="51">
        <f>'[3]MONTH3'!C8</f>
        <v>5990.44</v>
      </c>
      <c r="D14" s="51">
        <f>'[3]MONTH3'!D8</f>
        <v>39996.9</v>
      </c>
      <c r="E14" s="51">
        <f>'[3]MONTH3'!E8</f>
        <v>23189.71</v>
      </c>
      <c r="F14" s="51">
        <f>'[3]MONTH3'!F8</f>
        <v>23632.25</v>
      </c>
      <c r="G14" s="51">
        <f>'[3]MONTH3'!G8</f>
        <v>1411.27</v>
      </c>
      <c r="H14" s="51">
        <f>'[3]MONTH3'!H8</f>
        <v>10146.86</v>
      </c>
      <c r="I14" s="52">
        <f>'[4]MONTH3'!I8</f>
        <v>3284.93</v>
      </c>
      <c r="J14" s="78">
        <f>SUM(B14:I14)</f>
        <v>146434.88</v>
      </c>
      <c r="K14" s="52">
        <f>'[3]MONTH3'!J8</f>
        <v>75321.73000000003</v>
      </c>
      <c r="L14" s="52">
        <f>'[3]MONTH3'!K8</f>
        <v>111211</v>
      </c>
      <c r="M14" s="78">
        <f t="shared" si="1"/>
        <v>332967.61000000004</v>
      </c>
      <c r="N14" s="96">
        <v>290649</v>
      </c>
      <c r="O14" s="64">
        <f t="shared" si="2"/>
        <v>1.1456003977305962</v>
      </c>
      <c r="P14" s="78">
        <f>$X$3/$X$5*($P$1/$X$1)</f>
        <v>38620.16162961578</v>
      </c>
      <c r="Q14" s="78">
        <f t="shared" si="3"/>
        <v>9376.144002719895</v>
      </c>
      <c r="R14" s="78">
        <f t="shared" si="4"/>
        <v>42140.294307166085</v>
      </c>
      <c r="S14" s="78">
        <f t="shared" si="5"/>
        <v>22939.499162331227</v>
      </c>
      <c r="T14" s="78">
        <f t="shared" si="6"/>
        <v>23932.931037652965</v>
      </c>
      <c r="U14" s="78">
        <f t="shared" si="7"/>
        <v>1159.6969064132948</v>
      </c>
      <c r="V14" s="78">
        <f t="shared" si="8"/>
        <v>10633.139012032836</v>
      </c>
      <c r="W14" s="78">
        <f t="shared" si="13"/>
        <v>4350.260597730658</v>
      </c>
      <c r="X14" s="78">
        <f>SUM(P14:W14)</f>
        <v>153152.12665566275</v>
      </c>
      <c r="Y14" s="78">
        <f t="shared" si="14"/>
        <v>108225</v>
      </c>
      <c r="Z14" s="78">
        <f t="shared" si="9"/>
        <v>91175</v>
      </c>
      <c r="AA14" s="78">
        <f>SUM(X14:Z14)</f>
        <v>352552.1266556628</v>
      </c>
      <c r="AB14" s="78">
        <f t="shared" si="15"/>
        <v>362550</v>
      </c>
      <c r="AC14" s="76">
        <f>AA14/AB14</f>
        <v>0.9724234633999801</v>
      </c>
      <c r="AD14" s="77"/>
      <c r="AE14" s="78">
        <f t="shared" si="10"/>
        <v>162.35837038421596</v>
      </c>
      <c r="AF14" s="51">
        <f t="shared" si="10"/>
        <v>-3385.7040027198955</v>
      </c>
      <c r="AG14" s="51">
        <f t="shared" si="10"/>
        <v>-2143.3943071660833</v>
      </c>
      <c r="AH14" s="51">
        <f t="shared" si="10"/>
        <v>250.210837668772</v>
      </c>
      <c r="AI14" s="51">
        <f t="shared" si="10"/>
        <v>-300.68103765296473</v>
      </c>
      <c r="AJ14" s="51">
        <f t="shared" si="10"/>
        <v>251.57309358670523</v>
      </c>
      <c r="AK14" s="51">
        <f t="shared" si="10"/>
        <v>-486.27901203283545</v>
      </c>
      <c r="AL14" s="51">
        <f t="shared" si="10"/>
        <v>-1065.3305977306586</v>
      </c>
      <c r="AM14" s="78">
        <f>SUM(AE14:AL14)</f>
        <v>-6717.246655662744</v>
      </c>
      <c r="AN14" s="78">
        <f t="shared" si="11"/>
        <v>-32903.269999999975</v>
      </c>
      <c r="AO14" s="78">
        <f t="shared" si="11"/>
        <v>20036</v>
      </c>
      <c r="AP14" s="78">
        <f>SUM(AM14:AO14)</f>
        <v>-19584.516655662723</v>
      </c>
      <c r="AQ14" s="78">
        <f>N14-AB14</f>
        <v>-71901</v>
      </c>
      <c r="AR14" s="78">
        <f>AP14/AQ14</f>
        <v>0.2723817006114341</v>
      </c>
      <c r="AT14" s="252">
        <f>B14/P14</f>
        <v>1.004203979567494</v>
      </c>
      <c r="AU14" s="252">
        <f t="shared" si="12"/>
        <v>0.6389023033629019</v>
      </c>
      <c r="AV14" s="252">
        <f t="shared" si="12"/>
        <v>0.949136702948902</v>
      </c>
      <c r="AW14" s="252">
        <f t="shared" si="12"/>
        <v>1.0109074237365931</v>
      </c>
      <c r="AX14" s="252">
        <f t="shared" si="12"/>
        <v>0.987436514266476</v>
      </c>
      <c r="AY14" s="252">
        <f t="shared" si="12"/>
        <v>1.2169300376636938</v>
      </c>
      <c r="AZ14" s="252">
        <f t="shared" si="12"/>
        <v>0.9542675957229051</v>
      </c>
      <c r="BA14" s="252">
        <f t="shared" si="12"/>
        <v>0.7551110850034145</v>
      </c>
    </row>
    <row r="15" spans="1:53" s="206" customFormat="1" ht="12.75">
      <c r="A15" s="199">
        <f>'[3]MONTH3'!$A9</f>
        <v>39515</v>
      </c>
      <c r="B15" s="200">
        <f>'[3]MONTH3'!B9</f>
        <v>4870.72</v>
      </c>
      <c r="C15" s="200">
        <f>'[3]MONTH3'!C9</f>
        <v>7898.57</v>
      </c>
      <c r="D15" s="200">
        <f>'[3]MONTH3'!D9</f>
        <v>22914.14</v>
      </c>
      <c r="E15" s="200">
        <f>'[3]MONTH3'!E9</f>
        <v>17520.06</v>
      </c>
      <c r="F15" s="200">
        <f>'[3]MONTH3'!F9</f>
        <v>11375.17</v>
      </c>
      <c r="G15" s="200">
        <f>'[3]MONTH3'!G9</f>
        <v>414.12</v>
      </c>
      <c r="H15" s="200">
        <f>'[3]MONTH3'!H9</f>
        <v>36.72</v>
      </c>
      <c r="I15" s="201">
        <f>'[4]MONTH3'!I9</f>
        <v>2059.09</v>
      </c>
      <c r="J15" s="202">
        <f aca="true" t="shared" si="16" ref="J15:J38">SUM(B15:I15)</f>
        <v>67088.59000000001</v>
      </c>
      <c r="K15" s="201">
        <f>'[3]MONTH3'!J9</f>
        <v>28842.920000000002</v>
      </c>
      <c r="L15" s="201">
        <f>'[3]MONTH3'!K9</f>
        <v>58904</v>
      </c>
      <c r="M15" s="202">
        <f aca="true" t="shared" si="17" ref="M15:M38">SUM(J15:L15)</f>
        <v>154835.51</v>
      </c>
      <c r="N15" s="226">
        <v>0</v>
      </c>
      <c r="O15" s="203" t="e">
        <f aca="true" t="shared" si="18" ref="O15:O37">M15/N15</f>
        <v>#DIV/0!</v>
      </c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4"/>
      <c r="AD15" s="205"/>
      <c r="AE15" s="202"/>
      <c r="AF15" s="200"/>
      <c r="AG15" s="200"/>
      <c r="AH15" s="200"/>
      <c r="AI15" s="200"/>
      <c r="AJ15" s="200"/>
      <c r="AK15" s="200"/>
      <c r="AL15" s="200"/>
      <c r="AM15" s="202"/>
      <c r="AN15" s="202"/>
      <c r="AO15" s="202"/>
      <c r="AP15" s="202"/>
      <c r="AQ15" s="202"/>
      <c r="AR15" s="202" t="e">
        <f>AP15/AQ15</f>
        <v>#DIV/0!</v>
      </c>
      <c r="AT15" s="253"/>
      <c r="AU15" s="253"/>
      <c r="AV15" s="253"/>
      <c r="AW15" s="253"/>
      <c r="AX15" s="253"/>
      <c r="AY15" s="253"/>
      <c r="AZ15" s="253"/>
      <c r="BA15" s="253"/>
    </row>
    <row r="16" spans="1:53" s="206" customFormat="1" ht="12.75">
      <c r="A16" s="199">
        <f>'[3]MONTH3'!$A10</f>
        <v>39516</v>
      </c>
      <c r="B16" s="200">
        <f>'[3]MONTH3'!B10</f>
        <v>3900.73</v>
      </c>
      <c r="C16" s="200">
        <f>'[3]MONTH3'!C10</f>
        <v>6034.84</v>
      </c>
      <c r="D16" s="200">
        <f>'[3]MONTH3'!D10</f>
        <v>13388</v>
      </c>
      <c r="E16" s="200">
        <f>'[3]MONTH3'!E10</f>
        <v>10225.16</v>
      </c>
      <c r="F16" s="200">
        <f>'[3]MONTH3'!F10</f>
        <v>10105.81</v>
      </c>
      <c r="G16" s="200">
        <f>'[3]MONTH3'!G10</f>
        <v>239.45</v>
      </c>
      <c r="H16" s="200">
        <f>'[3]MONTH3'!H10</f>
        <v>51.41</v>
      </c>
      <c r="I16" s="201">
        <f>'[4]MONTH3'!I10</f>
        <v>0</v>
      </c>
      <c r="J16" s="202">
        <f t="shared" si="16"/>
        <v>43945.399999999994</v>
      </c>
      <c r="K16" s="201">
        <f>'[3]MONTH3'!J10</f>
        <v>13386.360000000002</v>
      </c>
      <c r="L16" s="201">
        <f>'[3]MONTH3'!K10</f>
        <v>31441</v>
      </c>
      <c r="M16" s="202">
        <f t="shared" si="17"/>
        <v>88772.76</v>
      </c>
      <c r="N16" s="226">
        <v>0</v>
      </c>
      <c r="O16" s="203" t="e">
        <f t="shared" si="18"/>
        <v>#DIV/0!</v>
      </c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4"/>
      <c r="AD16" s="205"/>
      <c r="AE16" s="202"/>
      <c r="AF16" s="200"/>
      <c r="AG16" s="200"/>
      <c r="AH16" s="200"/>
      <c r="AI16" s="200"/>
      <c r="AJ16" s="200"/>
      <c r="AK16" s="200"/>
      <c r="AL16" s="200"/>
      <c r="AM16" s="202"/>
      <c r="AN16" s="202"/>
      <c r="AO16" s="202"/>
      <c r="AP16" s="202"/>
      <c r="AQ16" s="202"/>
      <c r="AR16" s="202"/>
      <c r="AT16" s="253"/>
      <c r="AU16" s="253"/>
      <c r="AV16" s="253"/>
      <c r="AW16" s="253"/>
      <c r="AX16" s="253"/>
      <c r="AY16" s="253"/>
      <c r="AZ16" s="253"/>
      <c r="BA16" s="253"/>
    </row>
    <row r="17" spans="1:53" s="60" customFormat="1" ht="12.75">
      <c r="A17" s="89">
        <f>'[3]MONTH3'!$A11</f>
        <v>39517</v>
      </c>
      <c r="B17" s="51">
        <f>'[3]MONTH3'!B11</f>
        <v>30363.19</v>
      </c>
      <c r="C17" s="51">
        <f>'[3]MONTH3'!C11</f>
        <v>7088.69</v>
      </c>
      <c r="D17" s="51">
        <f>'[3]MONTH3'!D11</f>
        <v>36632.25</v>
      </c>
      <c r="E17" s="51">
        <f>'[3]MONTH3'!E11</f>
        <v>20096.58</v>
      </c>
      <c r="F17" s="51">
        <f>'[3]MONTH3'!F11</f>
        <v>19405.74</v>
      </c>
      <c r="G17" s="51">
        <f>'[3]MONTH3'!G11</f>
        <v>523.94</v>
      </c>
      <c r="H17" s="51">
        <f>'[3]MONTH3'!H11</f>
        <v>8590.45</v>
      </c>
      <c r="I17" s="52">
        <f>'[4]MONTH3'!I11</f>
        <v>2724.02</v>
      </c>
      <c r="J17" s="78">
        <f t="shared" si="16"/>
        <v>125424.86000000002</v>
      </c>
      <c r="K17" s="52">
        <f>'[3]MONTH3'!J11</f>
        <v>85982.98999999998</v>
      </c>
      <c r="L17" s="52">
        <f>'[3]MONTH3'!K11</f>
        <v>123816</v>
      </c>
      <c r="M17" s="78">
        <f t="shared" si="17"/>
        <v>335223.85</v>
      </c>
      <c r="N17" s="78">
        <v>275387</v>
      </c>
      <c r="O17" s="64">
        <f t="shared" si="18"/>
        <v>1.2172827693391481</v>
      </c>
      <c r="P17" s="78">
        <f aca="true" t="shared" si="19" ref="P17:P35">$X$3/$X$5*($P$1/$X$1)</f>
        <v>38620.16162961578</v>
      </c>
      <c r="Q17" s="78">
        <f t="shared" si="3"/>
        <v>9376.144002719895</v>
      </c>
      <c r="R17" s="78">
        <f t="shared" si="4"/>
        <v>42140.294307166085</v>
      </c>
      <c r="S17" s="78">
        <f t="shared" si="5"/>
        <v>22939.499162331227</v>
      </c>
      <c r="T17" s="78">
        <f t="shared" si="6"/>
        <v>23932.931037652965</v>
      </c>
      <c r="U17" s="78">
        <f t="shared" si="7"/>
        <v>1159.6969064132948</v>
      </c>
      <c r="V17" s="78">
        <f t="shared" si="8"/>
        <v>10633.139012032836</v>
      </c>
      <c r="W17" s="78">
        <f t="shared" si="13"/>
        <v>4350.260597730658</v>
      </c>
      <c r="X17" s="78">
        <f aca="true" t="shared" si="20" ref="X17:X35">SUM(P17:W17)</f>
        <v>153152.12665566275</v>
      </c>
      <c r="Y17" s="78">
        <f t="shared" si="14"/>
        <v>108225</v>
      </c>
      <c r="Z17" s="78">
        <f t="shared" si="9"/>
        <v>91175</v>
      </c>
      <c r="AA17" s="78">
        <f aca="true" t="shared" si="21" ref="AA17:AA38">SUM(X17:Z17)</f>
        <v>352552.1266556628</v>
      </c>
      <c r="AB17" s="78">
        <f t="shared" si="15"/>
        <v>362550</v>
      </c>
      <c r="AC17" s="76">
        <f aca="true" t="shared" si="22" ref="AC17:AC38">AA17/AB17</f>
        <v>0.9724234633999801</v>
      </c>
      <c r="AD17" s="77"/>
      <c r="AE17" s="78">
        <f aca="true" t="shared" si="23" ref="AE17:AL21">B17-P17</f>
        <v>-8256.971629615782</v>
      </c>
      <c r="AF17" s="51">
        <f t="shared" si="23"/>
        <v>-2287.4540027198955</v>
      </c>
      <c r="AG17" s="51">
        <f t="shared" si="23"/>
        <v>-5508.044307166085</v>
      </c>
      <c r="AH17" s="51">
        <f t="shared" si="23"/>
        <v>-2842.9191623312254</v>
      </c>
      <c r="AI17" s="51">
        <f t="shared" si="23"/>
        <v>-4527.191037652963</v>
      </c>
      <c r="AJ17" s="51">
        <f t="shared" si="23"/>
        <v>-635.7569064132947</v>
      </c>
      <c r="AK17" s="51">
        <f t="shared" si="23"/>
        <v>-2042.6890120328353</v>
      </c>
      <c r="AL17" s="51">
        <f t="shared" si="23"/>
        <v>-1626.2405977306585</v>
      </c>
      <c r="AM17" s="78">
        <f aca="true" t="shared" si="24" ref="AM17:AM38">SUM(AE17:AL17)</f>
        <v>-27727.26665566274</v>
      </c>
      <c r="AN17" s="78">
        <f aca="true" t="shared" si="25" ref="AN17:AO21">K17-Y17</f>
        <v>-22242.010000000024</v>
      </c>
      <c r="AO17" s="78">
        <f t="shared" si="25"/>
        <v>32641</v>
      </c>
      <c r="AP17" s="78">
        <f aca="true" t="shared" si="26" ref="AP17:AP35">SUM(AM17:AO17)</f>
        <v>-17328.27665566276</v>
      </c>
      <c r="AQ17" s="78">
        <f>N17-AB17</f>
        <v>-87163</v>
      </c>
      <c r="AR17" s="78"/>
      <c r="AT17" s="252">
        <f aca="true" t="shared" si="27" ref="AT17:BA21">B17/P17</f>
        <v>0.7862004900755272</v>
      </c>
      <c r="AU17" s="252">
        <f t="shared" si="27"/>
        <v>0.756034676722506</v>
      </c>
      <c r="AV17" s="252">
        <f t="shared" si="27"/>
        <v>0.8692926948488486</v>
      </c>
      <c r="AW17" s="252">
        <f t="shared" si="27"/>
        <v>0.8760688216332307</v>
      </c>
      <c r="AX17" s="252">
        <f t="shared" si="27"/>
        <v>0.8108384204788595</v>
      </c>
      <c r="AY17" s="252">
        <f t="shared" si="27"/>
        <v>0.4517904610269586</v>
      </c>
      <c r="AZ17" s="252">
        <f t="shared" si="27"/>
        <v>0.8078940743912728</v>
      </c>
      <c r="BA17" s="252">
        <f t="shared" si="27"/>
        <v>0.6261739817198544</v>
      </c>
    </row>
    <row r="18" spans="1:53" s="60" customFormat="1" ht="12.75">
      <c r="A18" s="89">
        <f>'[3]MONTH3'!$A12</f>
        <v>39518</v>
      </c>
      <c r="B18" s="51">
        <f>'[3]MONTH3'!B12</f>
        <v>40048.36</v>
      </c>
      <c r="C18" s="51">
        <f>'[3]MONTH3'!C12</f>
        <v>8331.13</v>
      </c>
      <c r="D18" s="51">
        <f>'[3]MONTH3'!D12</f>
        <v>39233.66</v>
      </c>
      <c r="E18" s="51">
        <f>'[3]MONTH3'!E12</f>
        <v>19149.94</v>
      </c>
      <c r="F18" s="51">
        <f>'[3]MONTH3'!F12</f>
        <v>22045.74</v>
      </c>
      <c r="G18" s="51">
        <f>'[3]MONTH3'!G12</f>
        <v>1045.13</v>
      </c>
      <c r="H18" s="51">
        <f>'[3]MONTH3'!H12</f>
        <v>8759.14</v>
      </c>
      <c r="I18" s="52">
        <f>'[4]MONTH3'!I12</f>
        <v>2708</v>
      </c>
      <c r="J18" s="78">
        <f t="shared" si="16"/>
        <v>141321.1</v>
      </c>
      <c r="K18" s="52">
        <f>'[3]MONTH3'!J12</f>
        <v>77768.92000000004</v>
      </c>
      <c r="L18" s="52">
        <f>'[3]MONTH3'!K12</f>
        <v>116357</v>
      </c>
      <c r="M18" s="78">
        <f t="shared" si="17"/>
        <v>335447.02</v>
      </c>
      <c r="N18" s="96">
        <v>218404</v>
      </c>
      <c r="O18" s="64">
        <f t="shared" si="18"/>
        <v>1.535901448691416</v>
      </c>
      <c r="P18" s="78">
        <f t="shared" si="19"/>
        <v>38620.16162961578</v>
      </c>
      <c r="Q18" s="78">
        <f t="shared" si="3"/>
        <v>9376.144002719895</v>
      </c>
      <c r="R18" s="78">
        <f t="shared" si="4"/>
        <v>42140.294307166085</v>
      </c>
      <c r="S18" s="78">
        <f t="shared" si="5"/>
        <v>22939.499162331227</v>
      </c>
      <c r="T18" s="78">
        <f t="shared" si="6"/>
        <v>23932.931037652965</v>
      </c>
      <c r="U18" s="78">
        <f t="shared" si="7"/>
        <v>1159.6969064132948</v>
      </c>
      <c r="V18" s="78">
        <f t="shared" si="8"/>
        <v>10633.139012032836</v>
      </c>
      <c r="W18" s="78">
        <f t="shared" si="13"/>
        <v>4350.260597730658</v>
      </c>
      <c r="X18" s="78">
        <f t="shared" si="20"/>
        <v>153152.12665566275</v>
      </c>
      <c r="Y18" s="78">
        <f t="shared" si="14"/>
        <v>108225</v>
      </c>
      <c r="Z18" s="78">
        <f t="shared" si="9"/>
        <v>91175</v>
      </c>
      <c r="AA18" s="78">
        <f t="shared" si="21"/>
        <v>352552.1266556628</v>
      </c>
      <c r="AB18" s="78">
        <f t="shared" si="15"/>
        <v>362550</v>
      </c>
      <c r="AC18" s="76">
        <f t="shared" si="22"/>
        <v>0.9724234633999801</v>
      </c>
      <c r="AD18" s="77"/>
      <c r="AE18" s="78">
        <f t="shared" si="23"/>
        <v>1428.1983703842197</v>
      </c>
      <c r="AF18" s="51">
        <f t="shared" si="23"/>
        <v>-1045.0140027198959</v>
      </c>
      <c r="AG18" s="51">
        <f t="shared" si="23"/>
        <v>-2906.6343071660813</v>
      </c>
      <c r="AH18" s="51">
        <f t="shared" si="23"/>
        <v>-3789.5591623312284</v>
      </c>
      <c r="AI18" s="51">
        <f t="shared" si="23"/>
        <v>-1887.1910376529631</v>
      </c>
      <c r="AJ18" s="51">
        <f t="shared" si="23"/>
        <v>-114.56690641329465</v>
      </c>
      <c r="AK18" s="51">
        <f t="shared" si="23"/>
        <v>-1873.9990120328366</v>
      </c>
      <c r="AL18" s="51">
        <f t="shared" si="23"/>
        <v>-1642.2605977306584</v>
      </c>
      <c r="AM18" s="78">
        <f t="shared" si="24"/>
        <v>-11831.02665566274</v>
      </c>
      <c r="AN18" s="78">
        <f t="shared" si="25"/>
        <v>-30456.079999999958</v>
      </c>
      <c r="AO18" s="78">
        <f t="shared" si="25"/>
        <v>25182</v>
      </c>
      <c r="AP18" s="78">
        <f t="shared" si="26"/>
        <v>-17105.106655662697</v>
      </c>
      <c r="AQ18" s="78">
        <f>N18-AB18</f>
        <v>-144146</v>
      </c>
      <c r="AR18" s="78">
        <f>AP18/AQ18</f>
        <v>0.11866514960985873</v>
      </c>
      <c r="AT18" s="252">
        <f t="shared" si="27"/>
        <v>1.0369806419786967</v>
      </c>
      <c r="AU18" s="252">
        <f t="shared" si="27"/>
        <v>0.888545440170634</v>
      </c>
      <c r="AV18" s="252">
        <f t="shared" si="27"/>
        <v>0.9310248218491488</v>
      </c>
      <c r="AW18" s="252">
        <f t="shared" si="27"/>
        <v>0.8348020096029806</v>
      </c>
      <c r="AX18" s="252">
        <f t="shared" si="27"/>
        <v>0.9211466813369452</v>
      </c>
      <c r="AY18" s="252">
        <f t="shared" si="27"/>
        <v>0.9012096128051021</v>
      </c>
      <c r="AZ18" s="252">
        <f t="shared" si="27"/>
        <v>0.823758627634591</v>
      </c>
      <c r="BA18" s="252">
        <f t="shared" si="27"/>
        <v>0.6224914437108999</v>
      </c>
    </row>
    <row r="19" spans="1:85" s="95" customFormat="1" ht="12.75">
      <c r="A19" s="89">
        <f>'[3]MONTH3'!$A13</f>
        <v>39519</v>
      </c>
      <c r="B19" s="51">
        <f>'[3]MONTH3'!B13</f>
        <v>37712.11</v>
      </c>
      <c r="C19" s="51">
        <f>'[3]MONTH3'!C13</f>
        <v>7443.68</v>
      </c>
      <c r="D19" s="51">
        <f>'[3]MONTH3'!D13</f>
        <v>37267.6</v>
      </c>
      <c r="E19" s="51">
        <f>'[3]MONTH3'!E13</f>
        <v>21121.02</v>
      </c>
      <c r="F19" s="51">
        <f>'[3]MONTH3'!F13</f>
        <v>19825.64</v>
      </c>
      <c r="G19" s="51">
        <f>'[3]MONTH3'!G13</f>
        <v>963.43</v>
      </c>
      <c r="H19" s="51">
        <f>'[3]MONTH3'!H13</f>
        <v>13472.83</v>
      </c>
      <c r="I19" s="52">
        <f>'[4]MONTH3'!I13</f>
        <v>3132.69</v>
      </c>
      <c r="J19" s="78">
        <f t="shared" si="16"/>
        <v>140939</v>
      </c>
      <c r="K19" s="52">
        <f>'[3]MONTH3'!J13</f>
        <v>81838.12999999996</v>
      </c>
      <c r="L19" s="52">
        <f>'[3]MONTH3'!K13</f>
        <v>80860</v>
      </c>
      <c r="M19" s="78">
        <f t="shared" si="17"/>
        <v>303637.12999999995</v>
      </c>
      <c r="N19" s="96">
        <v>295540</v>
      </c>
      <c r="O19" s="64">
        <f t="shared" si="18"/>
        <v>1.0273977464979358</v>
      </c>
      <c r="P19" s="78">
        <f t="shared" si="19"/>
        <v>38620.16162961578</v>
      </c>
      <c r="Q19" s="78">
        <f t="shared" si="3"/>
        <v>9376.144002719895</v>
      </c>
      <c r="R19" s="78">
        <f t="shared" si="4"/>
        <v>42140.294307166085</v>
      </c>
      <c r="S19" s="78">
        <f t="shared" si="5"/>
        <v>22939.499162331227</v>
      </c>
      <c r="T19" s="78">
        <f t="shared" si="6"/>
        <v>23932.931037652965</v>
      </c>
      <c r="U19" s="78">
        <f t="shared" si="7"/>
        <v>1159.6969064132948</v>
      </c>
      <c r="V19" s="78">
        <f t="shared" si="8"/>
        <v>10633.139012032836</v>
      </c>
      <c r="W19" s="78">
        <f t="shared" si="13"/>
        <v>4350.260597730658</v>
      </c>
      <c r="X19" s="78">
        <f t="shared" si="20"/>
        <v>153152.12665566275</v>
      </c>
      <c r="Y19" s="78">
        <f t="shared" si="14"/>
        <v>108225</v>
      </c>
      <c r="Z19" s="78">
        <f t="shared" si="9"/>
        <v>91175</v>
      </c>
      <c r="AA19" s="78">
        <f t="shared" si="21"/>
        <v>352552.1266556628</v>
      </c>
      <c r="AB19" s="78">
        <f t="shared" si="15"/>
        <v>362550</v>
      </c>
      <c r="AC19" s="76">
        <f t="shared" si="22"/>
        <v>0.9724234633999801</v>
      </c>
      <c r="AD19" s="77"/>
      <c r="AE19" s="78">
        <f t="shared" si="23"/>
        <v>-908.0516296157803</v>
      </c>
      <c r="AF19" s="51">
        <f t="shared" si="23"/>
        <v>-1932.4640027198948</v>
      </c>
      <c r="AG19" s="51">
        <f t="shared" si="23"/>
        <v>-4872.694307166086</v>
      </c>
      <c r="AH19" s="51">
        <f t="shared" si="23"/>
        <v>-1818.4791623312267</v>
      </c>
      <c r="AI19" s="51">
        <f t="shared" si="23"/>
        <v>-4107.291037652965</v>
      </c>
      <c r="AJ19" s="51">
        <f t="shared" si="23"/>
        <v>-196.2669064132948</v>
      </c>
      <c r="AK19" s="51">
        <f t="shared" si="23"/>
        <v>2839.690987967164</v>
      </c>
      <c r="AL19" s="51">
        <f t="shared" si="23"/>
        <v>-1217.5705977306584</v>
      </c>
      <c r="AM19" s="78">
        <f t="shared" si="24"/>
        <v>-12213.126655662743</v>
      </c>
      <c r="AN19" s="78">
        <f t="shared" si="25"/>
        <v>-26386.87000000004</v>
      </c>
      <c r="AO19" s="78">
        <f t="shared" si="25"/>
        <v>-10315</v>
      </c>
      <c r="AP19" s="78">
        <f t="shared" si="26"/>
        <v>-48914.996655662784</v>
      </c>
      <c r="AQ19" s="78">
        <f>N19-AB19</f>
        <v>-67010</v>
      </c>
      <c r="AR19" s="91">
        <f>AP19/AQ19</f>
        <v>0.7299656268566301</v>
      </c>
      <c r="AS19" s="60"/>
      <c r="AT19" s="252">
        <f t="shared" si="27"/>
        <v>0.9764876274127386</v>
      </c>
      <c r="AU19" s="252">
        <f t="shared" si="27"/>
        <v>0.793895656662343</v>
      </c>
      <c r="AV19" s="252">
        <f t="shared" si="27"/>
        <v>0.8843697134232528</v>
      </c>
      <c r="AW19" s="252">
        <f t="shared" si="27"/>
        <v>0.9207271636811785</v>
      </c>
      <c r="AX19" s="252">
        <f t="shared" si="27"/>
        <v>0.828383283635795</v>
      </c>
      <c r="AY19" s="252">
        <f t="shared" si="27"/>
        <v>0.8307601707584888</v>
      </c>
      <c r="AZ19" s="252">
        <f t="shared" si="27"/>
        <v>1.2670604592635974</v>
      </c>
      <c r="BA19" s="252">
        <f t="shared" si="27"/>
        <v>0.7201154803540247</v>
      </c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s="95" customFormat="1" ht="12.75">
      <c r="A20" s="89">
        <f>'[3]MONTH3'!$A14</f>
        <v>39520</v>
      </c>
      <c r="B20" s="51">
        <f>'[3]MONTH3'!B14</f>
        <v>40018.51</v>
      </c>
      <c r="C20" s="51">
        <f>'[3]MONTH3'!C14</f>
        <v>7410.38</v>
      </c>
      <c r="D20" s="51">
        <f>'[3]MONTH3'!D14</f>
        <v>37396.38</v>
      </c>
      <c r="E20" s="51">
        <f>'[3]MONTH3'!E14</f>
        <v>24309.52</v>
      </c>
      <c r="F20" s="51">
        <f>'[3]MONTH3'!F14</f>
        <v>20341.4</v>
      </c>
      <c r="G20" s="51">
        <f>'[3]MONTH3'!G14</f>
        <v>1064.83</v>
      </c>
      <c r="H20" s="51">
        <f>'[3]MONTH3'!H14</f>
        <v>8781.23</v>
      </c>
      <c r="I20" s="52">
        <f>'[4]MONTH3'!I14</f>
        <v>3861.7</v>
      </c>
      <c r="J20" s="78">
        <f t="shared" si="16"/>
        <v>143183.95</v>
      </c>
      <c r="K20" s="52">
        <f>'[3]MONTH3'!J14</f>
        <v>75118.25000000006</v>
      </c>
      <c r="L20" s="52">
        <f>'[3]MONTH3'!K14</f>
        <v>93827</v>
      </c>
      <c r="M20" s="78">
        <f t="shared" si="17"/>
        <v>312129.20000000007</v>
      </c>
      <c r="N20" s="96">
        <v>234307</v>
      </c>
      <c r="O20" s="64">
        <f t="shared" si="18"/>
        <v>1.3321377508994612</v>
      </c>
      <c r="P20" s="78">
        <f t="shared" si="19"/>
        <v>38620.16162961578</v>
      </c>
      <c r="Q20" s="78">
        <f t="shared" si="3"/>
        <v>9376.144002719895</v>
      </c>
      <c r="R20" s="78">
        <f t="shared" si="4"/>
        <v>42140.294307166085</v>
      </c>
      <c r="S20" s="78">
        <f t="shared" si="5"/>
        <v>22939.499162331227</v>
      </c>
      <c r="T20" s="78">
        <f t="shared" si="6"/>
        <v>23932.931037652965</v>
      </c>
      <c r="U20" s="78">
        <f t="shared" si="7"/>
        <v>1159.6969064132948</v>
      </c>
      <c r="V20" s="78">
        <f t="shared" si="8"/>
        <v>10633.139012032836</v>
      </c>
      <c r="W20" s="78">
        <f t="shared" si="13"/>
        <v>4350.260597730658</v>
      </c>
      <c r="X20" s="78">
        <f t="shared" si="20"/>
        <v>153152.12665566275</v>
      </c>
      <c r="Y20" s="78">
        <f t="shared" si="14"/>
        <v>108225</v>
      </c>
      <c r="Z20" s="78">
        <f t="shared" si="9"/>
        <v>91175</v>
      </c>
      <c r="AA20" s="78">
        <f t="shared" si="21"/>
        <v>352552.1266556628</v>
      </c>
      <c r="AB20" s="78">
        <f t="shared" si="15"/>
        <v>362550</v>
      </c>
      <c r="AC20" s="76">
        <f t="shared" si="22"/>
        <v>0.9724234633999801</v>
      </c>
      <c r="AD20" s="77"/>
      <c r="AE20" s="78">
        <f t="shared" si="23"/>
        <v>1398.3483703842212</v>
      </c>
      <c r="AF20" s="51">
        <f t="shared" si="23"/>
        <v>-1965.764002719895</v>
      </c>
      <c r="AG20" s="51">
        <f t="shared" si="23"/>
        <v>-4743.914307166087</v>
      </c>
      <c r="AH20" s="51">
        <f t="shared" si="23"/>
        <v>1370.0208376687733</v>
      </c>
      <c r="AI20" s="51">
        <f t="shared" si="23"/>
        <v>-3591.5310376529633</v>
      </c>
      <c r="AJ20" s="51">
        <f t="shared" si="23"/>
        <v>-94.86690641329483</v>
      </c>
      <c r="AK20" s="51">
        <f t="shared" si="23"/>
        <v>-1851.9090120328365</v>
      </c>
      <c r="AL20" s="51">
        <f t="shared" si="23"/>
        <v>-488.5605977306586</v>
      </c>
      <c r="AM20" s="78">
        <f t="shared" si="24"/>
        <v>-9968.17665566274</v>
      </c>
      <c r="AN20" s="78">
        <f t="shared" si="25"/>
        <v>-33106.74999999994</v>
      </c>
      <c r="AO20" s="78">
        <f t="shared" si="25"/>
        <v>2652</v>
      </c>
      <c r="AP20" s="78">
        <f t="shared" si="26"/>
        <v>-40422.92665566268</v>
      </c>
      <c r="AQ20" s="78">
        <f>N20-AB20</f>
        <v>-128243</v>
      </c>
      <c r="AR20" s="91">
        <f>AP20/AQ20</f>
        <v>0.3152057161456195</v>
      </c>
      <c r="AS20" s="60"/>
      <c r="AT20" s="252">
        <f t="shared" si="27"/>
        <v>1.0362077296256549</v>
      </c>
      <c r="AU20" s="252">
        <f t="shared" si="27"/>
        <v>0.7903440900492086</v>
      </c>
      <c r="AV20" s="252">
        <f t="shared" si="27"/>
        <v>0.8874256958770369</v>
      </c>
      <c r="AW20" s="252">
        <f t="shared" si="27"/>
        <v>1.0597232235967242</v>
      </c>
      <c r="AX20" s="252">
        <f t="shared" si="27"/>
        <v>0.8499335065979794</v>
      </c>
      <c r="AY20" s="252">
        <f t="shared" si="27"/>
        <v>0.9181968099693404</v>
      </c>
      <c r="AZ20" s="252">
        <f t="shared" si="27"/>
        <v>0.825836095066833</v>
      </c>
      <c r="BA20" s="252">
        <f t="shared" si="27"/>
        <v>0.8876939468900968</v>
      </c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53" s="60" customFormat="1" ht="12.75">
      <c r="A21" s="89">
        <f>'[3]MONTH3'!$A15</f>
        <v>39521</v>
      </c>
      <c r="B21" s="51">
        <f>'[3]MONTH3'!B15</f>
        <v>30578.6</v>
      </c>
      <c r="C21" s="51">
        <f>'[3]MONTH3'!C15</f>
        <v>6134.7</v>
      </c>
      <c r="D21" s="51">
        <f>'[3]MONTH3'!D15</f>
        <v>33455.13</v>
      </c>
      <c r="E21" s="51">
        <f>'[3]MONTH3'!E15</f>
        <v>26056.19</v>
      </c>
      <c r="F21" s="51">
        <f>'[3]MONTH3'!F15</f>
        <v>17957.78</v>
      </c>
      <c r="G21" s="51">
        <f>'[3]MONTH3'!G15</f>
        <v>887.41</v>
      </c>
      <c r="H21" s="51">
        <f>'[3]MONTH3'!H15</f>
        <v>8047.01</v>
      </c>
      <c r="I21" s="52">
        <f>'[4]MONTH3'!I15</f>
        <v>3901.84</v>
      </c>
      <c r="J21" s="78">
        <f t="shared" si="16"/>
        <v>127018.65999999999</v>
      </c>
      <c r="K21" s="52">
        <f>'[3]MONTH3'!J15</f>
        <v>64472.77999999997</v>
      </c>
      <c r="L21" s="52">
        <f>'[3]MONTH3'!K15</f>
        <v>84964</v>
      </c>
      <c r="M21" s="78">
        <f t="shared" si="17"/>
        <v>276455.43999999994</v>
      </c>
      <c r="N21" s="96">
        <v>332288</v>
      </c>
      <c r="O21" s="64">
        <f t="shared" si="18"/>
        <v>0.8319753948382125</v>
      </c>
      <c r="P21" s="78">
        <f t="shared" si="19"/>
        <v>38620.16162961578</v>
      </c>
      <c r="Q21" s="78">
        <f t="shared" si="3"/>
        <v>9376.144002719895</v>
      </c>
      <c r="R21" s="78">
        <f t="shared" si="4"/>
        <v>42140.294307166085</v>
      </c>
      <c r="S21" s="78">
        <f t="shared" si="5"/>
        <v>22939.499162331227</v>
      </c>
      <c r="T21" s="78">
        <f t="shared" si="6"/>
        <v>23932.931037652965</v>
      </c>
      <c r="U21" s="78">
        <f t="shared" si="7"/>
        <v>1159.6969064132948</v>
      </c>
      <c r="V21" s="78">
        <f t="shared" si="8"/>
        <v>10633.139012032836</v>
      </c>
      <c r="W21" s="78">
        <f t="shared" si="13"/>
        <v>4350.260597730658</v>
      </c>
      <c r="X21" s="78">
        <f t="shared" si="20"/>
        <v>153152.12665566275</v>
      </c>
      <c r="Y21" s="78">
        <f t="shared" si="14"/>
        <v>108225</v>
      </c>
      <c r="Z21" s="78">
        <f t="shared" si="9"/>
        <v>91175</v>
      </c>
      <c r="AA21" s="78">
        <f t="shared" si="21"/>
        <v>352552.1266556628</v>
      </c>
      <c r="AB21" s="78">
        <f t="shared" si="15"/>
        <v>362550</v>
      </c>
      <c r="AC21" s="76">
        <f t="shared" si="22"/>
        <v>0.9724234633999801</v>
      </c>
      <c r="AD21" s="77"/>
      <c r="AE21" s="78">
        <f t="shared" si="23"/>
        <v>-8041.561629615782</v>
      </c>
      <c r="AF21" s="51">
        <f t="shared" si="23"/>
        <v>-3241.4440027198953</v>
      </c>
      <c r="AG21" s="51">
        <f t="shared" si="23"/>
        <v>-8685.164307166087</v>
      </c>
      <c r="AH21" s="51">
        <f t="shared" si="23"/>
        <v>3116.6908376687716</v>
      </c>
      <c r="AI21" s="51">
        <f t="shared" si="23"/>
        <v>-5975.151037652966</v>
      </c>
      <c r="AJ21" s="51">
        <f t="shared" si="23"/>
        <v>-272.2869064132948</v>
      </c>
      <c r="AK21" s="51">
        <f t="shared" si="23"/>
        <v>-2586.129012032836</v>
      </c>
      <c r="AL21" s="51">
        <f t="shared" si="23"/>
        <v>-448.4205977306583</v>
      </c>
      <c r="AM21" s="78">
        <f t="shared" si="24"/>
        <v>-26133.466655662745</v>
      </c>
      <c r="AN21" s="78">
        <f t="shared" si="25"/>
        <v>-43752.22000000003</v>
      </c>
      <c r="AO21" s="78">
        <f t="shared" si="25"/>
        <v>-6211</v>
      </c>
      <c r="AP21" s="78">
        <f t="shared" si="26"/>
        <v>-76096.68665566278</v>
      </c>
      <c r="AQ21" s="78">
        <f>N21-AB21</f>
        <v>-30262</v>
      </c>
      <c r="AR21" s="78">
        <f>AP21/AQ21</f>
        <v>2.5145954218380404</v>
      </c>
      <c r="AT21" s="252">
        <f t="shared" si="27"/>
        <v>0.791778146690895</v>
      </c>
      <c r="AU21" s="252">
        <f t="shared" si="27"/>
        <v>0.654288159207069</v>
      </c>
      <c r="AV21" s="252">
        <f t="shared" si="27"/>
        <v>0.7938988217818604</v>
      </c>
      <c r="AW21" s="252">
        <f t="shared" si="27"/>
        <v>1.135865688069889</v>
      </c>
      <c r="AX21" s="252">
        <f t="shared" si="27"/>
        <v>0.7503376820727709</v>
      </c>
      <c r="AY21" s="252">
        <f t="shared" si="27"/>
        <v>0.765208560178519</v>
      </c>
      <c r="AZ21" s="252">
        <f t="shared" si="27"/>
        <v>0.7567859303723689</v>
      </c>
      <c r="BA21" s="252">
        <f t="shared" si="27"/>
        <v>0.8969209803282636</v>
      </c>
    </row>
    <row r="22" spans="1:53" s="206" customFormat="1" ht="12.75">
      <c r="A22" s="199">
        <f>'[3]MONTH3'!$A16</f>
        <v>39522</v>
      </c>
      <c r="B22" s="200">
        <f>'[3]MONTH3'!B16</f>
        <v>1582.79</v>
      </c>
      <c r="C22" s="200">
        <f>'[3]MONTH3'!C16</f>
        <v>9174.17</v>
      </c>
      <c r="D22" s="200">
        <f>'[3]MONTH3'!D16</f>
        <v>11248.05</v>
      </c>
      <c r="E22" s="200">
        <f>'[3]MONTH3'!E16</f>
        <v>21007.65</v>
      </c>
      <c r="F22" s="200">
        <f>'[3]MONTH3'!F16</f>
        <v>9443.14</v>
      </c>
      <c r="G22" s="200">
        <f>'[3]MONTH3'!G16</f>
        <v>76.07</v>
      </c>
      <c r="H22" s="200">
        <f>'[3]MONTH3'!H16</f>
        <v>4016.19</v>
      </c>
      <c r="I22" s="201">
        <f>'[4]MONTH3'!I16</f>
        <v>2283.38</v>
      </c>
      <c r="J22" s="202">
        <f t="shared" si="16"/>
        <v>58831.44</v>
      </c>
      <c r="K22" s="201">
        <f>'[3]MONTH3'!J16</f>
        <v>21661.79</v>
      </c>
      <c r="L22" s="201">
        <f>'[3]MONTH3'!K16</f>
        <v>17499</v>
      </c>
      <c r="M22" s="202">
        <f t="shared" si="17"/>
        <v>97992.23000000001</v>
      </c>
      <c r="N22" s="226">
        <v>290657</v>
      </c>
      <c r="O22" s="203">
        <f t="shared" si="18"/>
        <v>0.33714044389090925</v>
      </c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4"/>
      <c r="AD22" s="205"/>
      <c r="AE22" s="202"/>
      <c r="AF22" s="200"/>
      <c r="AG22" s="200"/>
      <c r="AH22" s="200"/>
      <c r="AI22" s="200"/>
      <c r="AJ22" s="200"/>
      <c r="AK22" s="200"/>
      <c r="AL22" s="200"/>
      <c r="AM22" s="202"/>
      <c r="AN22" s="202"/>
      <c r="AO22" s="202"/>
      <c r="AP22" s="202"/>
      <c r="AQ22" s="202"/>
      <c r="AR22" s="202" t="e">
        <f>AP22/AQ22</f>
        <v>#DIV/0!</v>
      </c>
      <c r="AT22" s="253"/>
      <c r="AU22" s="253"/>
      <c r="AV22" s="253"/>
      <c r="AW22" s="253"/>
      <c r="AX22" s="253"/>
      <c r="AY22" s="253"/>
      <c r="AZ22" s="253"/>
      <c r="BA22" s="253"/>
    </row>
    <row r="23" spans="1:53" s="206" customFormat="1" ht="12.75">
      <c r="A23" s="199">
        <f>'[3]MONTH3'!$A17</f>
        <v>39523</v>
      </c>
      <c r="B23" s="200">
        <f>'[3]MONTH3'!B17</f>
        <v>450.85</v>
      </c>
      <c r="C23" s="200">
        <f>'[3]MONTH3'!C17</f>
        <v>8197.99</v>
      </c>
      <c r="D23" s="200">
        <f>'[3]MONTH3'!D17</f>
        <v>6970.02</v>
      </c>
      <c r="E23" s="200">
        <f>'[3]MONTH3'!E17</f>
        <v>11161.78</v>
      </c>
      <c r="F23" s="200">
        <f>'[3]MONTH3'!F17</f>
        <v>10908.37</v>
      </c>
      <c r="G23" s="200">
        <f>'[3]MONTH3'!G17</f>
        <v>61.97</v>
      </c>
      <c r="H23" s="200">
        <f>'[3]MONTH3'!H17</f>
        <v>124.82</v>
      </c>
      <c r="I23" s="201">
        <f>'[4]MONTH3'!I17</f>
        <v>1370.06</v>
      </c>
      <c r="J23" s="202">
        <f t="shared" si="16"/>
        <v>39245.86</v>
      </c>
      <c r="K23" s="201">
        <f>'[3]MONTH3'!J17</f>
        <v>17142.199999999997</v>
      </c>
      <c r="L23" s="201">
        <f>'[3]MONTH3'!K17</f>
        <v>9406</v>
      </c>
      <c r="M23" s="202">
        <f t="shared" si="17"/>
        <v>65794.06</v>
      </c>
      <c r="N23" s="226">
        <v>290658</v>
      </c>
      <c r="O23" s="203">
        <f t="shared" si="18"/>
        <v>0.22636246034858837</v>
      </c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4"/>
      <c r="AD23" s="205"/>
      <c r="AE23" s="202"/>
      <c r="AF23" s="200"/>
      <c r="AG23" s="200"/>
      <c r="AH23" s="200"/>
      <c r="AI23" s="200"/>
      <c r="AJ23" s="200"/>
      <c r="AK23" s="200"/>
      <c r="AL23" s="200"/>
      <c r="AM23" s="202"/>
      <c r="AN23" s="202"/>
      <c r="AO23" s="202"/>
      <c r="AP23" s="202"/>
      <c r="AQ23" s="202"/>
      <c r="AR23" s="202"/>
      <c r="AT23" s="253"/>
      <c r="AU23" s="253"/>
      <c r="AV23" s="253"/>
      <c r="AW23" s="253"/>
      <c r="AX23" s="253"/>
      <c r="AY23" s="253"/>
      <c r="AZ23" s="253"/>
      <c r="BA23" s="253"/>
    </row>
    <row r="24" spans="1:53" s="60" customFormat="1" ht="12.75">
      <c r="A24" s="89">
        <f>'[3]MONTH3'!$A18</f>
        <v>39524</v>
      </c>
      <c r="B24" s="51">
        <f>'[3]MONTH3'!B18</f>
        <v>34151.77</v>
      </c>
      <c r="C24" s="51">
        <f>'[3]MONTH3'!C18</f>
        <v>7388.26</v>
      </c>
      <c r="D24" s="51">
        <f>'[3]MONTH3'!D18</f>
        <v>37332.65</v>
      </c>
      <c r="E24" s="51">
        <f>'[3]MONTH3'!E18</f>
        <v>15994.71</v>
      </c>
      <c r="F24" s="51">
        <f>'[3]MONTH3'!F18</f>
        <v>18826.23</v>
      </c>
      <c r="G24" s="51">
        <f>'[3]MONTH3'!G18</f>
        <v>1059.23</v>
      </c>
      <c r="H24" s="51">
        <f>'[3]MONTH3'!H18</f>
        <v>10521.33</v>
      </c>
      <c r="I24" s="52">
        <f>'[4]MONTH3'!I18</f>
        <v>2764.17</v>
      </c>
      <c r="J24" s="78">
        <f t="shared" si="16"/>
        <v>128038.34999999998</v>
      </c>
      <c r="K24" s="52">
        <f>'[3]MONTH3'!J18</f>
        <v>91811.40000000002</v>
      </c>
      <c r="L24" s="52">
        <f>'[3]MONTH3'!K18</f>
        <v>96961</v>
      </c>
      <c r="M24" s="78">
        <f t="shared" si="17"/>
        <v>316810.75</v>
      </c>
      <c r="N24" s="96">
        <v>290659</v>
      </c>
      <c r="O24" s="64">
        <f t="shared" si="18"/>
        <v>1.0899739901396481</v>
      </c>
      <c r="P24" s="78">
        <f t="shared" si="19"/>
        <v>38620.16162961578</v>
      </c>
      <c r="Q24" s="78">
        <f t="shared" si="3"/>
        <v>9376.144002719895</v>
      </c>
      <c r="R24" s="78">
        <f t="shared" si="4"/>
        <v>42140.294307166085</v>
      </c>
      <c r="S24" s="78">
        <f t="shared" si="5"/>
        <v>22939.499162331227</v>
      </c>
      <c r="T24" s="78">
        <f t="shared" si="6"/>
        <v>23932.931037652965</v>
      </c>
      <c r="U24" s="78">
        <f t="shared" si="7"/>
        <v>1159.6969064132948</v>
      </c>
      <c r="V24" s="78">
        <f t="shared" si="8"/>
        <v>10633.139012032836</v>
      </c>
      <c r="W24" s="78">
        <f t="shared" si="13"/>
        <v>4350.260597730658</v>
      </c>
      <c r="X24" s="78">
        <f t="shared" si="20"/>
        <v>153152.12665566275</v>
      </c>
      <c r="Y24" s="78">
        <f t="shared" si="14"/>
        <v>108225</v>
      </c>
      <c r="Z24" s="78">
        <f t="shared" si="9"/>
        <v>91175</v>
      </c>
      <c r="AA24" s="78">
        <f t="shared" si="21"/>
        <v>352552.1266556628</v>
      </c>
      <c r="AB24" s="78">
        <f t="shared" si="15"/>
        <v>362550</v>
      </c>
      <c r="AC24" s="76">
        <f t="shared" si="22"/>
        <v>0.9724234633999801</v>
      </c>
      <c r="AD24" s="77"/>
      <c r="AE24" s="78">
        <f aca="true" t="shared" si="28" ref="AE24:AL28">B24-P24</f>
        <v>-4468.391629615784</v>
      </c>
      <c r="AF24" s="51">
        <f t="shared" si="28"/>
        <v>-1987.8840027198949</v>
      </c>
      <c r="AG24" s="51">
        <f t="shared" si="28"/>
        <v>-4807.644307166083</v>
      </c>
      <c r="AH24" s="51">
        <f t="shared" si="28"/>
        <v>-6944.789162331228</v>
      </c>
      <c r="AI24" s="51">
        <f t="shared" si="28"/>
        <v>-5106.701037652965</v>
      </c>
      <c r="AJ24" s="51">
        <f t="shared" si="28"/>
        <v>-100.46690641329474</v>
      </c>
      <c r="AK24" s="51">
        <f t="shared" si="28"/>
        <v>-111.80901203283611</v>
      </c>
      <c r="AL24" s="51">
        <f t="shared" si="28"/>
        <v>-1586.0905977306584</v>
      </c>
      <c r="AM24" s="78">
        <f t="shared" si="24"/>
        <v>-25113.776655662743</v>
      </c>
      <c r="AN24" s="78">
        <f aca="true" t="shared" si="29" ref="AN24:AO28">K24-Y24</f>
        <v>-16413.599999999977</v>
      </c>
      <c r="AO24" s="78">
        <f t="shared" si="29"/>
        <v>5786</v>
      </c>
      <c r="AP24" s="78">
        <f t="shared" si="26"/>
        <v>-35741.37665566272</v>
      </c>
      <c r="AQ24" s="78">
        <f>N24-AB24</f>
        <v>-71891</v>
      </c>
      <c r="AR24" s="78"/>
      <c r="AT24" s="252">
        <f aca="true" t="shared" si="30" ref="AT24:BA28">B24/P24</f>
        <v>0.8842989920013901</v>
      </c>
      <c r="AU24" s="252">
        <f t="shared" si="30"/>
        <v>0.7879849112659494</v>
      </c>
      <c r="AV24" s="252">
        <f t="shared" si="30"/>
        <v>0.8859133666195461</v>
      </c>
      <c r="AW24" s="252">
        <f t="shared" si="30"/>
        <v>0.6972562864957744</v>
      </c>
      <c r="AX24" s="252">
        <f t="shared" si="30"/>
        <v>0.7866245037175453</v>
      </c>
      <c r="AY24" s="252">
        <f t="shared" si="30"/>
        <v>0.9133679620444808</v>
      </c>
      <c r="AZ24" s="252">
        <f t="shared" si="30"/>
        <v>0.9894848537288651</v>
      </c>
      <c r="BA24" s="252">
        <f t="shared" si="30"/>
        <v>0.6354033138708857</v>
      </c>
    </row>
    <row r="25" spans="1:53" s="60" customFormat="1" ht="12.75">
      <c r="A25" s="89">
        <f>'[3]MONTH3'!$A19</f>
        <v>39525</v>
      </c>
      <c r="B25" s="51">
        <f>'[3]MONTH3'!B19</f>
        <v>43844.18</v>
      </c>
      <c r="C25" s="51">
        <f>'[3]MONTH3'!C19</f>
        <v>7754.33</v>
      </c>
      <c r="D25" s="51">
        <f>'[3]MONTH3'!D19</f>
        <v>50320.17</v>
      </c>
      <c r="E25" s="51">
        <f>'[3]MONTH3'!E19</f>
        <v>18214.07</v>
      </c>
      <c r="F25" s="51">
        <f>'[3]MONTH3'!F19</f>
        <v>21426.29</v>
      </c>
      <c r="G25" s="51">
        <f>'[3]MONTH3'!G19</f>
        <v>1276.11</v>
      </c>
      <c r="H25" s="51">
        <f>'[3]MONTH3'!H19</f>
        <v>9383.29</v>
      </c>
      <c r="I25" s="52">
        <f>'[4]MONTH3'!I19</f>
        <v>3925.94</v>
      </c>
      <c r="J25" s="78">
        <f t="shared" si="16"/>
        <v>156144.38</v>
      </c>
      <c r="K25" s="52">
        <f>'[3]MONTH3'!J19</f>
        <v>93999.54000000004</v>
      </c>
      <c r="L25" s="52">
        <f>'[3]MONTH3'!K19</f>
        <v>137166</v>
      </c>
      <c r="M25" s="78">
        <f t="shared" si="17"/>
        <v>387309.92000000004</v>
      </c>
      <c r="N25" s="96">
        <v>290660</v>
      </c>
      <c r="O25" s="64">
        <f t="shared" si="18"/>
        <v>1.3325188192389734</v>
      </c>
      <c r="P25" s="78">
        <f t="shared" si="19"/>
        <v>38620.16162961578</v>
      </c>
      <c r="Q25" s="78">
        <f t="shared" si="3"/>
        <v>9376.144002719895</v>
      </c>
      <c r="R25" s="78">
        <f t="shared" si="4"/>
        <v>42140.294307166085</v>
      </c>
      <c r="S25" s="78">
        <f t="shared" si="5"/>
        <v>22939.499162331227</v>
      </c>
      <c r="T25" s="78">
        <f t="shared" si="6"/>
        <v>23932.931037652965</v>
      </c>
      <c r="U25" s="78">
        <f t="shared" si="7"/>
        <v>1159.6969064132948</v>
      </c>
      <c r="V25" s="78">
        <f t="shared" si="8"/>
        <v>10633.139012032836</v>
      </c>
      <c r="W25" s="78">
        <f t="shared" si="13"/>
        <v>4350.260597730658</v>
      </c>
      <c r="X25" s="78">
        <f t="shared" si="20"/>
        <v>153152.12665566275</v>
      </c>
      <c r="Y25" s="78">
        <f t="shared" si="14"/>
        <v>108225</v>
      </c>
      <c r="Z25" s="78">
        <f t="shared" si="9"/>
        <v>91175</v>
      </c>
      <c r="AA25" s="78">
        <f t="shared" si="21"/>
        <v>352552.1266556628</v>
      </c>
      <c r="AB25" s="78">
        <f t="shared" si="15"/>
        <v>362550</v>
      </c>
      <c r="AC25" s="76">
        <f t="shared" si="22"/>
        <v>0.9724234633999801</v>
      </c>
      <c r="AD25" s="77"/>
      <c r="AE25" s="78">
        <f t="shared" si="28"/>
        <v>5224.018370384219</v>
      </c>
      <c r="AF25" s="51">
        <f t="shared" si="28"/>
        <v>-1621.8140027198951</v>
      </c>
      <c r="AG25" s="51">
        <f t="shared" si="28"/>
        <v>8179.8756928339135</v>
      </c>
      <c r="AH25" s="51">
        <f t="shared" si="28"/>
        <v>-4725.429162331227</v>
      </c>
      <c r="AI25" s="51">
        <f t="shared" si="28"/>
        <v>-2506.641037652964</v>
      </c>
      <c r="AJ25" s="51">
        <f t="shared" si="28"/>
        <v>116.41309358670514</v>
      </c>
      <c r="AK25" s="51">
        <f t="shared" si="28"/>
        <v>-1249.8490120328352</v>
      </c>
      <c r="AL25" s="51">
        <f t="shared" si="28"/>
        <v>-424.3205977306584</v>
      </c>
      <c r="AM25" s="78">
        <f t="shared" si="24"/>
        <v>2992.253344337258</v>
      </c>
      <c r="AN25" s="78">
        <f t="shared" si="29"/>
        <v>-14225.459999999963</v>
      </c>
      <c r="AO25" s="78">
        <f t="shared" si="29"/>
        <v>45991</v>
      </c>
      <c r="AP25" s="78">
        <f t="shared" si="26"/>
        <v>34757.7933443373</v>
      </c>
      <c r="AQ25" s="78">
        <f>N25-AB25</f>
        <v>-71890</v>
      </c>
      <c r="AR25" s="78">
        <f>AP25/AQ25</f>
        <v>-0.4834857886261969</v>
      </c>
      <c r="AT25" s="252">
        <f t="shared" si="30"/>
        <v>1.1352666107533376</v>
      </c>
      <c r="AU25" s="252">
        <f t="shared" si="30"/>
        <v>0.8270276136704569</v>
      </c>
      <c r="AV25" s="252">
        <f t="shared" si="30"/>
        <v>1.1941105497083084</v>
      </c>
      <c r="AW25" s="252">
        <f t="shared" si="30"/>
        <v>0.7940046934376485</v>
      </c>
      <c r="AX25" s="252">
        <f t="shared" si="30"/>
        <v>0.8952639342958311</v>
      </c>
      <c r="AY25" s="252">
        <f t="shared" si="30"/>
        <v>1.1003823438201168</v>
      </c>
      <c r="AZ25" s="252">
        <f t="shared" si="30"/>
        <v>0.8824571924980514</v>
      </c>
      <c r="BA25" s="252">
        <f t="shared" si="30"/>
        <v>0.9024608783317468</v>
      </c>
    </row>
    <row r="26" spans="1:85" s="95" customFormat="1" ht="12.75">
      <c r="A26" s="89">
        <f>'[3]MONTH3'!$A20</f>
        <v>39526</v>
      </c>
      <c r="B26" s="51">
        <f>'[3]MONTH3'!B20</f>
        <v>34690.04</v>
      </c>
      <c r="C26" s="51">
        <f>'[3]MONTH3'!C20</f>
        <v>5890.57</v>
      </c>
      <c r="D26" s="51">
        <f>'[3]MONTH3'!D20</f>
        <v>38432.72</v>
      </c>
      <c r="E26" s="51">
        <f>'[3]MONTH3'!E20</f>
        <v>26085.02</v>
      </c>
      <c r="F26" s="51">
        <f>'[3]MONTH3'!F20</f>
        <v>26646.51</v>
      </c>
      <c r="G26" s="51">
        <f>'[3]MONTH3'!G20</f>
        <v>1121.21</v>
      </c>
      <c r="H26" s="51">
        <f>'[3]MONTH3'!H20</f>
        <v>11064.62</v>
      </c>
      <c r="I26" s="52">
        <f>'[4]MONTH3'!I20</f>
        <v>3429.19</v>
      </c>
      <c r="J26" s="78">
        <f t="shared" si="16"/>
        <v>147359.88</v>
      </c>
      <c r="K26" s="52">
        <f>'[3]MONTH3'!J20</f>
        <v>52152.70999999997</v>
      </c>
      <c r="L26" s="52">
        <f>'[3]MONTH3'!K20</f>
        <v>100405</v>
      </c>
      <c r="M26" s="78">
        <f t="shared" si="17"/>
        <v>299917.58999999997</v>
      </c>
      <c r="N26" s="96">
        <v>290661</v>
      </c>
      <c r="O26" s="64">
        <f t="shared" si="18"/>
        <v>1.0318466873780796</v>
      </c>
      <c r="P26" s="78">
        <f t="shared" si="19"/>
        <v>38620.16162961578</v>
      </c>
      <c r="Q26" s="78">
        <f t="shared" si="3"/>
        <v>9376.144002719895</v>
      </c>
      <c r="R26" s="78">
        <f t="shared" si="4"/>
        <v>42140.294307166085</v>
      </c>
      <c r="S26" s="78">
        <f t="shared" si="5"/>
        <v>22939.499162331227</v>
      </c>
      <c r="T26" s="78">
        <f t="shared" si="6"/>
        <v>23932.931037652965</v>
      </c>
      <c r="U26" s="78">
        <f t="shared" si="7"/>
        <v>1159.6969064132948</v>
      </c>
      <c r="V26" s="78">
        <f t="shared" si="8"/>
        <v>10633.139012032836</v>
      </c>
      <c r="W26" s="78">
        <f t="shared" si="13"/>
        <v>4350.260597730658</v>
      </c>
      <c r="X26" s="78">
        <f t="shared" si="20"/>
        <v>153152.12665566275</v>
      </c>
      <c r="Y26" s="78">
        <f t="shared" si="14"/>
        <v>108225</v>
      </c>
      <c r="Z26" s="78">
        <f t="shared" si="9"/>
        <v>91175</v>
      </c>
      <c r="AA26" s="78">
        <f t="shared" si="21"/>
        <v>352552.1266556628</v>
      </c>
      <c r="AB26" s="78">
        <f t="shared" si="15"/>
        <v>362550</v>
      </c>
      <c r="AC26" s="76">
        <f t="shared" si="22"/>
        <v>0.9724234633999801</v>
      </c>
      <c r="AD26" s="77"/>
      <c r="AE26" s="78">
        <f t="shared" si="28"/>
        <v>-3930.12162961578</v>
      </c>
      <c r="AF26" s="51">
        <f t="shared" si="28"/>
        <v>-3485.5740027198954</v>
      </c>
      <c r="AG26" s="51">
        <f t="shared" si="28"/>
        <v>-3707.5743071660836</v>
      </c>
      <c r="AH26" s="51">
        <f t="shared" si="28"/>
        <v>3145.5208376687733</v>
      </c>
      <c r="AI26" s="51">
        <f t="shared" si="28"/>
        <v>2713.5789623470337</v>
      </c>
      <c r="AJ26" s="51">
        <f t="shared" si="28"/>
        <v>-38.48690641329472</v>
      </c>
      <c r="AK26" s="51">
        <f t="shared" si="28"/>
        <v>431.48098796716476</v>
      </c>
      <c r="AL26" s="51">
        <f t="shared" si="28"/>
        <v>-921.0705977306584</v>
      </c>
      <c r="AM26" s="78">
        <f t="shared" si="24"/>
        <v>-5792.2466556627405</v>
      </c>
      <c r="AN26" s="78">
        <f t="shared" si="29"/>
        <v>-56072.29000000003</v>
      </c>
      <c r="AO26" s="78">
        <f t="shared" si="29"/>
        <v>9230</v>
      </c>
      <c r="AP26" s="78">
        <f t="shared" si="26"/>
        <v>-52634.53665566277</v>
      </c>
      <c r="AQ26" s="78">
        <f>N26-AB26</f>
        <v>-71889</v>
      </c>
      <c r="AR26" s="91">
        <f>AP26/AQ26</f>
        <v>0.7321639841375283</v>
      </c>
      <c r="AS26" s="60"/>
      <c r="AT26" s="252">
        <f t="shared" si="30"/>
        <v>0.8982365307709645</v>
      </c>
      <c r="AU26" s="252">
        <f t="shared" si="30"/>
        <v>0.6282508031330601</v>
      </c>
      <c r="AV26" s="252">
        <f t="shared" si="30"/>
        <v>0.9120183100729887</v>
      </c>
      <c r="AW26" s="252">
        <f t="shared" si="30"/>
        <v>1.1371224722653932</v>
      </c>
      <c r="AX26" s="252">
        <f t="shared" si="30"/>
        <v>1.1133826424384812</v>
      </c>
      <c r="AY26" s="252">
        <f t="shared" si="30"/>
        <v>0.9668129610414097</v>
      </c>
      <c r="AZ26" s="252">
        <f t="shared" si="30"/>
        <v>1.0405788909068983</v>
      </c>
      <c r="BA26" s="252">
        <f t="shared" si="30"/>
        <v>0.7882723167869206</v>
      </c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s="95" customFormat="1" ht="12.75">
      <c r="A27" s="89">
        <f>'[3]MONTH3'!$A21</f>
        <v>39527</v>
      </c>
      <c r="B27" s="51">
        <f>'[3]MONTH3'!B21</f>
        <v>27929.77</v>
      </c>
      <c r="C27" s="51">
        <f>'[3]MONTH3'!C21</f>
        <v>4869.98</v>
      </c>
      <c r="D27" s="51">
        <f>'[3]MONTH3'!D21</f>
        <v>37324.95</v>
      </c>
      <c r="E27" s="51">
        <f>'[3]MONTH3'!E21</f>
        <v>17576.99</v>
      </c>
      <c r="F27" s="51">
        <f>'[3]MONTH3'!F21</f>
        <v>24434</v>
      </c>
      <c r="G27" s="51">
        <f>'[3]MONTH3'!G21</f>
        <v>1073.31</v>
      </c>
      <c r="H27" s="51">
        <f>'[3]MONTH3'!H21</f>
        <v>8751.91</v>
      </c>
      <c r="I27" s="52">
        <f>'[4]MONTH3'!I21</f>
        <v>3541.37</v>
      </c>
      <c r="J27" s="78">
        <f t="shared" si="16"/>
        <v>125502.28</v>
      </c>
      <c r="K27" s="52">
        <f>'[3]MONTH3'!J21</f>
        <v>53431.47999999998</v>
      </c>
      <c r="L27" s="52">
        <f>'[3]MONTH3'!K21</f>
        <v>113712</v>
      </c>
      <c r="M27" s="78">
        <f t="shared" si="17"/>
        <v>292645.76</v>
      </c>
      <c r="N27" s="96">
        <v>290662</v>
      </c>
      <c r="O27" s="64">
        <f t="shared" si="18"/>
        <v>1.006824971960559</v>
      </c>
      <c r="P27" s="78">
        <f t="shared" si="19"/>
        <v>38620.16162961578</v>
      </c>
      <c r="Q27" s="78">
        <f t="shared" si="3"/>
        <v>9376.144002719895</v>
      </c>
      <c r="R27" s="78">
        <f t="shared" si="4"/>
        <v>42140.294307166085</v>
      </c>
      <c r="S27" s="78">
        <f t="shared" si="5"/>
        <v>22939.499162331227</v>
      </c>
      <c r="T27" s="78">
        <f t="shared" si="6"/>
        <v>23932.931037652965</v>
      </c>
      <c r="U27" s="78">
        <f t="shared" si="7"/>
        <v>1159.6969064132948</v>
      </c>
      <c r="V27" s="78">
        <f t="shared" si="8"/>
        <v>10633.139012032836</v>
      </c>
      <c r="W27" s="78">
        <f t="shared" si="13"/>
        <v>4350.260597730658</v>
      </c>
      <c r="X27" s="78">
        <f t="shared" si="20"/>
        <v>153152.12665566275</v>
      </c>
      <c r="Y27" s="78">
        <f t="shared" si="14"/>
        <v>108225</v>
      </c>
      <c r="Z27" s="78">
        <f t="shared" si="9"/>
        <v>91175</v>
      </c>
      <c r="AA27" s="78">
        <f t="shared" si="21"/>
        <v>352552.1266556628</v>
      </c>
      <c r="AB27" s="78">
        <f t="shared" si="15"/>
        <v>362550</v>
      </c>
      <c r="AC27" s="76">
        <f t="shared" si="22"/>
        <v>0.9724234633999801</v>
      </c>
      <c r="AD27" s="77"/>
      <c r="AE27" s="78">
        <f t="shared" si="28"/>
        <v>-10690.39162961578</v>
      </c>
      <c r="AF27" s="51">
        <f t="shared" si="28"/>
        <v>-4506.1640027198955</v>
      </c>
      <c r="AG27" s="51">
        <f t="shared" si="28"/>
        <v>-4815.344307166088</v>
      </c>
      <c r="AH27" s="51">
        <f t="shared" si="28"/>
        <v>-5362.5091623312255</v>
      </c>
      <c r="AI27" s="51">
        <f t="shared" si="28"/>
        <v>501.06896234703527</v>
      </c>
      <c r="AJ27" s="51">
        <f t="shared" si="28"/>
        <v>-86.38690641329481</v>
      </c>
      <c r="AK27" s="51">
        <f t="shared" si="28"/>
        <v>-1881.2290120328362</v>
      </c>
      <c r="AL27" s="51">
        <f t="shared" si="28"/>
        <v>-808.8905977306586</v>
      </c>
      <c r="AM27" s="78">
        <f t="shared" si="24"/>
        <v>-27649.846655662746</v>
      </c>
      <c r="AN27" s="78">
        <f t="shared" si="29"/>
        <v>-54793.52000000002</v>
      </c>
      <c r="AO27" s="78">
        <f t="shared" si="29"/>
        <v>22537</v>
      </c>
      <c r="AP27" s="78">
        <f t="shared" si="26"/>
        <v>-59906.36665566277</v>
      </c>
      <c r="AQ27" s="78">
        <f>N27-AB27</f>
        <v>-71888</v>
      </c>
      <c r="AR27" s="91">
        <f>AP27/AQ27</f>
        <v>0.8333291600220172</v>
      </c>
      <c r="AS27" s="60"/>
      <c r="AT27" s="252">
        <f t="shared" si="30"/>
        <v>0.7231914321814262</v>
      </c>
      <c r="AU27" s="252">
        <f t="shared" si="30"/>
        <v>0.5194011523913543</v>
      </c>
      <c r="AV27" s="252">
        <f t="shared" si="30"/>
        <v>0.8857306436431978</v>
      </c>
      <c r="AW27" s="252">
        <f t="shared" si="30"/>
        <v>0.7662325090716471</v>
      </c>
      <c r="AX27" s="252">
        <f t="shared" si="30"/>
        <v>1.0209363809872982</v>
      </c>
      <c r="AY27" s="252">
        <f t="shared" si="30"/>
        <v>0.9255090653984136</v>
      </c>
      <c r="AZ27" s="252">
        <f t="shared" si="30"/>
        <v>0.8230786779046178</v>
      </c>
      <c r="BA27" s="252">
        <f t="shared" si="30"/>
        <v>0.8140592777010597</v>
      </c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53" s="60" customFormat="1" ht="12.75">
      <c r="A28" s="89">
        <f>'[3]MONTH3'!$A22</f>
        <v>39528</v>
      </c>
      <c r="B28" s="51">
        <f>'[3]MONTH3'!B22</f>
        <v>820.6</v>
      </c>
      <c r="C28" s="51">
        <f>'[3]MONTH3'!C22</f>
        <v>6622.79</v>
      </c>
      <c r="D28" s="51">
        <f>'[3]MONTH3'!D22</f>
        <v>22872.46</v>
      </c>
      <c r="E28" s="51">
        <f>'[3]MONTH3'!E22</f>
        <v>10114.92</v>
      </c>
      <c r="F28" s="51">
        <f>'[3]MONTH3'!F22</f>
        <v>10078.18</v>
      </c>
      <c r="G28" s="51">
        <f>'[3]MONTH3'!G22</f>
        <v>478.89</v>
      </c>
      <c r="H28" s="51">
        <f>'[3]MONTH3'!H22</f>
        <v>3619.68</v>
      </c>
      <c r="I28" s="52">
        <f>'[4]MONTH3'!I22</f>
        <v>2387.54</v>
      </c>
      <c r="J28" s="78">
        <f t="shared" si="16"/>
        <v>56995.06</v>
      </c>
      <c r="K28" s="52">
        <f>'[3]MONTH3'!J22</f>
        <v>32318.470000000005</v>
      </c>
      <c r="L28" s="52">
        <f>'[3]MONTH3'!K22</f>
        <v>39736</v>
      </c>
      <c r="M28" s="78">
        <f t="shared" si="17"/>
        <v>129049.53</v>
      </c>
      <c r="N28" s="96">
        <v>290663</v>
      </c>
      <c r="O28" s="64">
        <f t="shared" si="18"/>
        <v>0.443983341532978</v>
      </c>
      <c r="P28" s="78">
        <f t="shared" si="19"/>
        <v>38620.16162961578</v>
      </c>
      <c r="Q28" s="78">
        <f t="shared" si="3"/>
        <v>9376.144002719895</v>
      </c>
      <c r="R28" s="78">
        <f t="shared" si="4"/>
        <v>42140.294307166085</v>
      </c>
      <c r="S28" s="78">
        <f t="shared" si="5"/>
        <v>22939.499162331227</v>
      </c>
      <c r="T28" s="78">
        <f t="shared" si="6"/>
        <v>23932.931037652965</v>
      </c>
      <c r="U28" s="78">
        <f t="shared" si="7"/>
        <v>1159.6969064132948</v>
      </c>
      <c r="V28" s="78">
        <f t="shared" si="8"/>
        <v>10633.139012032836</v>
      </c>
      <c r="W28" s="78">
        <f t="shared" si="13"/>
        <v>4350.260597730658</v>
      </c>
      <c r="X28" s="78">
        <f t="shared" si="20"/>
        <v>153152.12665566275</v>
      </c>
      <c r="Y28" s="78">
        <f t="shared" si="14"/>
        <v>108225</v>
      </c>
      <c r="Z28" s="78">
        <f t="shared" si="9"/>
        <v>91175</v>
      </c>
      <c r="AA28" s="78">
        <f t="shared" si="21"/>
        <v>352552.1266556628</v>
      </c>
      <c r="AB28" s="78">
        <f t="shared" si="15"/>
        <v>362550</v>
      </c>
      <c r="AC28" s="76">
        <f t="shared" si="22"/>
        <v>0.9724234633999801</v>
      </c>
      <c r="AD28" s="77"/>
      <c r="AE28" s="78">
        <f t="shared" si="28"/>
        <v>-37799.56162961578</v>
      </c>
      <c r="AF28" s="51">
        <f t="shared" si="28"/>
        <v>-2753.354002719895</v>
      </c>
      <c r="AG28" s="51">
        <f t="shared" si="28"/>
        <v>-19267.834307166086</v>
      </c>
      <c r="AH28" s="51">
        <f t="shared" si="28"/>
        <v>-12824.579162331227</v>
      </c>
      <c r="AI28" s="51">
        <f t="shared" si="28"/>
        <v>-13854.751037652964</v>
      </c>
      <c r="AJ28" s="51">
        <f t="shared" si="28"/>
        <v>-680.8069064132948</v>
      </c>
      <c r="AK28" s="51">
        <f t="shared" si="28"/>
        <v>-7013.459012032836</v>
      </c>
      <c r="AL28" s="51">
        <f t="shared" si="28"/>
        <v>-1962.7205977306585</v>
      </c>
      <c r="AM28" s="78">
        <f t="shared" si="24"/>
        <v>-96157.06665566275</v>
      </c>
      <c r="AN28" s="78">
        <f t="shared" si="29"/>
        <v>-75906.53</v>
      </c>
      <c r="AO28" s="78">
        <f t="shared" si="29"/>
        <v>-51439</v>
      </c>
      <c r="AP28" s="78">
        <f t="shared" si="26"/>
        <v>-223502.59665566275</v>
      </c>
      <c r="AQ28" s="78">
        <f>N28-AB28</f>
        <v>-71887</v>
      </c>
      <c r="AR28" s="78">
        <f>AP28/AQ28</f>
        <v>3.1090822632139714</v>
      </c>
      <c r="AT28" s="252">
        <f t="shared" si="30"/>
        <v>0.021247969075580585</v>
      </c>
      <c r="AU28" s="252">
        <f t="shared" si="30"/>
        <v>0.7063447402342388</v>
      </c>
      <c r="AV28" s="252">
        <f t="shared" si="30"/>
        <v>0.5427693464426153</v>
      </c>
      <c r="AW28" s="252">
        <f t="shared" si="30"/>
        <v>0.44093900779706785</v>
      </c>
      <c r="AX28" s="252">
        <f t="shared" si="30"/>
        <v>0.4211009501570995</v>
      </c>
      <c r="AY28" s="252">
        <f t="shared" si="30"/>
        <v>0.41294410406000714</v>
      </c>
      <c r="AZ28" s="252">
        <f t="shared" si="30"/>
        <v>0.34041499842180584</v>
      </c>
      <c r="BA28" s="252">
        <f t="shared" si="30"/>
        <v>0.548826891254624</v>
      </c>
    </row>
    <row r="29" spans="1:53" s="206" customFormat="1" ht="12.75">
      <c r="A29" s="199">
        <f>'[3]MONTH3'!$A23</f>
        <v>39529</v>
      </c>
      <c r="B29" s="200">
        <f>'[3]MONTH3'!B23</f>
        <v>695.09</v>
      </c>
      <c r="C29" s="200">
        <f>'[3]MONTH3'!C23</f>
        <v>9984.06</v>
      </c>
      <c r="D29" s="200">
        <f>'[3]MONTH3'!D23</f>
        <v>11902.4</v>
      </c>
      <c r="E29" s="200">
        <f>'[3]MONTH3'!E23</f>
        <v>6762.6</v>
      </c>
      <c r="F29" s="200">
        <f>'[3]MONTH3'!F23</f>
        <v>9178.41</v>
      </c>
      <c r="G29" s="200">
        <f>'[3]MONTH3'!G23</f>
        <v>73.24</v>
      </c>
      <c r="H29" s="200">
        <f>'[3]MONTH3'!H23</f>
        <v>2672.56</v>
      </c>
      <c r="I29" s="201">
        <f>'[4]MONTH3'!I23</f>
        <v>1810.74</v>
      </c>
      <c r="J29" s="202">
        <f t="shared" si="16"/>
        <v>43079.09999999999</v>
      </c>
      <c r="K29" s="201">
        <f>'[3]MONTH3'!J23</f>
        <v>33740.07000000002</v>
      </c>
      <c r="L29" s="201">
        <f>'[3]MONTH3'!K23</f>
        <v>21222</v>
      </c>
      <c r="M29" s="202">
        <f t="shared" si="17"/>
        <v>98041.17000000001</v>
      </c>
      <c r="N29" s="226">
        <v>290664</v>
      </c>
      <c r="O29" s="203">
        <f t="shared" si="18"/>
        <v>0.3373006977128231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4"/>
      <c r="AD29" s="205"/>
      <c r="AE29" s="202"/>
      <c r="AF29" s="200"/>
      <c r="AG29" s="200"/>
      <c r="AH29" s="200"/>
      <c r="AI29" s="200"/>
      <c r="AJ29" s="200"/>
      <c r="AK29" s="200"/>
      <c r="AL29" s="200"/>
      <c r="AM29" s="202"/>
      <c r="AN29" s="202"/>
      <c r="AO29" s="202"/>
      <c r="AP29" s="202"/>
      <c r="AQ29" s="202"/>
      <c r="AR29" s="202"/>
      <c r="AT29" s="253"/>
      <c r="AU29" s="253"/>
      <c r="AV29" s="253"/>
      <c r="AW29" s="253"/>
      <c r="AX29" s="253"/>
      <c r="AY29" s="253"/>
      <c r="AZ29" s="253"/>
      <c r="BA29" s="253"/>
    </row>
    <row r="30" spans="1:53" s="206" customFormat="1" ht="12.75">
      <c r="A30" s="199">
        <f>'[3]MONTH3'!$A24</f>
        <v>39530</v>
      </c>
      <c r="B30" s="200">
        <f>'[3]MONTH3'!B24</f>
        <v>250.53</v>
      </c>
      <c r="C30" s="200">
        <f>'[3]MONTH3'!C24</f>
        <v>3161.59</v>
      </c>
      <c r="D30" s="200">
        <f>'[3]MONTH3'!D24</f>
        <v>360.18</v>
      </c>
      <c r="E30" s="200">
        <f>'[3]MONTH3'!E24</f>
        <v>674.71</v>
      </c>
      <c r="F30" s="200">
        <f>'[3]MONTH3'!F24</f>
        <v>265.63</v>
      </c>
      <c r="G30" s="200">
        <f>'[3]MONTH3'!G24</f>
        <v>5.64</v>
      </c>
      <c r="H30" s="200">
        <f>'[3]MONTH3'!H24</f>
        <v>227.6</v>
      </c>
      <c r="I30" s="201">
        <f>'[4]MONTH3'!I24</f>
        <v>0</v>
      </c>
      <c r="J30" s="202">
        <f t="shared" si="16"/>
        <v>4945.880000000001</v>
      </c>
      <c r="K30" s="201">
        <f>'[3]MONTH3'!J24</f>
        <v>3024.4700000000003</v>
      </c>
      <c r="L30" s="201">
        <f>'[3]MONTH3'!K24</f>
        <v>0</v>
      </c>
      <c r="M30" s="202">
        <f t="shared" si="17"/>
        <v>7970.350000000001</v>
      </c>
      <c r="N30" s="226">
        <v>290665</v>
      </c>
      <c r="O30" s="203">
        <f t="shared" si="18"/>
        <v>0.027421086130081027</v>
      </c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4"/>
      <c r="AD30" s="205"/>
      <c r="AE30" s="202"/>
      <c r="AF30" s="200"/>
      <c r="AG30" s="200"/>
      <c r="AH30" s="200"/>
      <c r="AI30" s="200"/>
      <c r="AJ30" s="200"/>
      <c r="AK30" s="200"/>
      <c r="AL30" s="200"/>
      <c r="AM30" s="202"/>
      <c r="AN30" s="202"/>
      <c r="AO30" s="202"/>
      <c r="AP30" s="202"/>
      <c r="AQ30" s="202"/>
      <c r="AR30" s="202"/>
      <c r="AT30" s="253"/>
      <c r="AU30" s="253"/>
      <c r="AV30" s="253"/>
      <c r="AW30" s="253"/>
      <c r="AX30" s="253"/>
      <c r="AY30" s="253"/>
      <c r="AZ30" s="253"/>
      <c r="BA30" s="253"/>
    </row>
    <row r="31" spans="1:53" s="60" customFormat="1" ht="12.75">
      <c r="A31" s="89">
        <f>'[3]MONTH3'!$A25</f>
        <v>39531</v>
      </c>
      <c r="B31" s="51">
        <f>'[3]MONTH3'!B25</f>
        <v>24725.15</v>
      </c>
      <c r="C31" s="51">
        <f>'[3]MONTH3'!C25</f>
        <v>2895.38</v>
      </c>
      <c r="D31" s="51">
        <f>'[3]MONTH3'!D25</f>
        <v>31442.56</v>
      </c>
      <c r="E31" s="51">
        <f>'[3]MONTH3'!E25</f>
        <v>20353.82</v>
      </c>
      <c r="F31" s="51">
        <f>'[3]MONTH3'!F25</f>
        <v>20988.5</v>
      </c>
      <c r="G31" s="51">
        <f>'[3]MONTH3'!G25</f>
        <v>1540.93</v>
      </c>
      <c r="H31" s="51">
        <f>'[3]MONTH3'!H25</f>
        <v>10506.58</v>
      </c>
      <c r="I31" s="52">
        <f>'[4]MONTH3'!I25</f>
        <v>3733.59</v>
      </c>
      <c r="J31" s="78">
        <f t="shared" si="16"/>
        <v>116186.51</v>
      </c>
      <c r="K31" s="52">
        <f>'[3]MONTH3'!J25</f>
        <v>75023.76000000001</v>
      </c>
      <c r="L31" s="52">
        <f>'[3]MONTH3'!K25</f>
        <v>72777</v>
      </c>
      <c r="M31" s="78">
        <f t="shared" si="17"/>
        <v>263987.27</v>
      </c>
      <c r="N31" s="96">
        <v>290666</v>
      </c>
      <c r="O31" s="64">
        <f t="shared" si="18"/>
        <v>0.9082151679246971</v>
      </c>
      <c r="P31" s="78">
        <f t="shared" si="19"/>
        <v>38620.16162961578</v>
      </c>
      <c r="Q31" s="78">
        <f t="shared" si="3"/>
        <v>9376.144002719895</v>
      </c>
      <c r="R31" s="78">
        <f t="shared" si="4"/>
        <v>42140.294307166085</v>
      </c>
      <c r="S31" s="78">
        <f t="shared" si="5"/>
        <v>22939.499162331227</v>
      </c>
      <c r="T31" s="78">
        <f t="shared" si="6"/>
        <v>23932.931037652965</v>
      </c>
      <c r="U31" s="78">
        <f t="shared" si="7"/>
        <v>1159.6969064132948</v>
      </c>
      <c r="V31" s="78">
        <f t="shared" si="8"/>
        <v>10633.139012032836</v>
      </c>
      <c r="W31" s="78">
        <f t="shared" si="13"/>
        <v>4350.260597730658</v>
      </c>
      <c r="X31" s="78">
        <f t="shared" si="20"/>
        <v>153152.12665566275</v>
      </c>
      <c r="Y31" s="78">
        <f t="shared" si="14"/>
        <v>108225</v>
      </c>
      <c r="Z31" s="78">
        <f t="shared" si="9"/>
        <v>91175</v>
      </c>
      <c r="AA31" s="78">
        <f t="shared" si="21"/>
        <v>352552.1266556628</v>
      </c>
      <c r="AB31" s="78">
        <f t="shared" si="15"/>
        <v>362550</v>
      </c>
      <c r="AC31" s="76">
        <f t="shared" si="22"/>
        <v>0.9724234633999801</v>
      </c>
      <c r="AD31" s="77"/>
      <c r="AE31" s="78">
        <f aca="true" t="shared" si="31" ref="AE31:AL35">B31-P31</f>
        <v>-13895.01162961578</v>
      </c>
      <c r="AF31" s="51">
        <f t="shared" si="31"/>
        <v>-6480.764002719895</v>
      </c>
      <c r="AG31" s="51">
        <f t="shared" si="31"/>
        <v>-10697.734307166083</v>
      </c>
      <c r="AH31" s="51">
        <f t="shared" si="31"/>
        <v>-2585.6791623312274</v>
      </c>
      <c r="AI31" s="51">
        <f t="shared" si="31"/>
        <v>-2944.4310376529647</v>
      </c>
      <c r="AJ31" s="51">
        <f t="shared" si="31"/>
        <v>381.2330935867053</v>
      </c>
      <c r="AK31" s="51">
        <f t="shared" si="31"/>
        <v>-126.55901203283611</v>
      </c>
      <c r="AL31" s="51">
        <f t="shared" si="31"/>
        <v>-616.6705977306583</v>
      </c>
      <c r="AM31" s="78">
        <f t="shared" si="24"/>
        <v>-36965.616655662736</v>
      </c>
      <c r="AN31" s="78">
        <f aca="true" t="shared" si="32" ref="AN31:AO35">K31-Y31</f>
        <v>-33201.23999999999</v>
      </c>
      <c r="AO31" s="78">
        <f t="shared" si="32"/>
        <v>-18398</v>
      </c>
      <c r="AP31" s="78">
        <f t="shared" si="26"/>
        <v>-88564.85665566273</v>
      </c>
      <c r="AQ31" s="78">
        <f>N31-AB31</f>
        <v>-71884</v>
      </c>
      <c r="AR31" s="78"/>
      <c r="AT31" s="252">
        <f aca="true" t="shared" si="33" ref="AT31:BA35">B31/P31</f>
        <v>0.6402135298429092</v>
      </c>
      <c r="AU31" s="252">
        <f t="shared" si="33"/>
        <v>0.30880285106117067</v>
      </c>
      <c r="AV31" s="252">
        <f t="shared" si="33"/>
        <v>0.7461400191183074</v>
      </c>
      <c r="AW31" s="252">
        <f t="shared" si="33"/>
        <v>0.8872826671570427</v>
      </c>
      <c r="AX31" s="252">
        <f t="shared" si="33"/>
        <v>0.8769715655378533</v>
      </c>
      <c r="AY31" s="252">
        <f t="shared" si="33"/>
        <v>1.3287351130096408</v>
      </c>
      <c r="AZ31" s="252">
        <f t="shared" si="33"/>
        <v>0.988097681043235</v>
      </c>
      <c r="BA31" s="252">
        <f t="shared" si="33"/>
        <v>0.858245136382784</v>
      </c>
    </row>
    <row r="32" spans="1:53" s="60" customFormat="1" ht="12.75">
      <c r="A32" s="89">
        <f>'[3]MONTH3'!$A26</f>
        <v>39532</v>
      </c>
      <c r="B32" s="51">
        <f>'[3]MONTH3'!B26</f>
        <v>27237.55</v>
      </c>
      <c r="C32" s="51">
        <f>'[3]MONTH3'!C26</f>
        <v>5269.37</v>
      </c>
      <c r="D32" s="51">
        <f>'[3]MONTH3'!D26</f>
        <v>38086.18</v>
      </c>
      <c r="E32" s="51">
        <f>'[3]MONTH3'!E26</f>
        <v>19861.79</v>
      </c>
      <c r="F32" s="51">
        <f>'[3]MONTH3'!F26</f>
        <v>21824.94</v>
      </c>
      <c r="G32" s="51">
        <f>'[3]MONTH3'!G26</f>
        <v>1318.38</v>
      </c>
      <c r="H32" s="51">
        <f>'[3]MONTH3'!H26</f>
        <v>11204.23</v>
      </c>
      <c r="I32" s="52">
        <f>'[4]MONTH3'!I26</f>
        <v>4374.66</v>
      </c>
      <c r="J32" s="78">
        <f t="shared" si="16"/>
        <v>129177.10000000002</v>
      </c>
      <c r="K32" s="52">
        <f>'[3]MONTH3'!J26</f>
        <v>68372.07000000002</v>
      </c>
      <c r="L32" s="52">
        <f>'[3]MONTH3'!K26</f>
        <v>90373</v>
      </c>
      <c r="M32" s="78">
        <f t="shared" si="17"/>
        <v>287922.17000000004</v>
      </c>
      <c r="N32" s="96">
        <v>290667</v>
      </c>
      <c r="O32" s="64">
        <f t="shared" si="18"/>
        <v>0.9905567883523071</v>
      </c>
      <c r="P32" s="78">
        <f t="shared" si="19"/>
        <v>38620.16162961578</v>
      </c>
      <c r="Q32" s="78">
        <f t="shared" si="3"/>
        <v>9376.144002719895</v>
      </c>
      <c r="R32" s="78">
        <f t="shared" si="4"/>
        <v>42140.294307166085</v>
      </c>
      <c r="S32" s="78">
        <f t="shared" si="5"/>
        <v>22939.499162331227</v>
      </c>
      <c r="T32" s="78">
        <f t="shared" si="6"/>
        <v>23932.931037652965</v>
      </c>
      <c r="U32" s="78">
        <f t="shared" si="7"/>
        <v>1159.6969064132948</v>
      </c>
      <c r="V32" s="78">
        <f t="shared" si="8"/>
        <v>10633.139012032836</v>
      </c>
      <c r="W32" s="78">
        <f t="shared" si="13"/>
        <v>4350.260597730658</v>
      </c>
      <c r="X32" s="78">
        <f t="shared" si="20"/>
        <v>153152.12665566275</v>
      </c>
      <c r="Y32" s="78">
        <f t="shared" si="14"/>
        <v>108225</v>
      </c>
      <c r="Z32" s="78">
        <f t="shared" si="9"/>
        <v>91175</v>
      </c>
      <c r="AA32" s="78">
        <f t="shared" si="21"/>
        <v>352552.1266556628</v>
      </c>
      <c r="AB32" s="78">
        <f t="shared" si="15"/>
        <v>362550</v>
      </c>
      <c r="AC32" s="76">
        <f t="shared" si="22"/>
        <v>0.9724234633999801</v>
      </c>
      <c r="AD32" s="77"/>
      <c r="AE32" s="78">
        <f t="shared" si="31"/>
        <v>-11382.611629615782</v>
      </c>
      <c r="AF32" s="51">
        <f t="shared" si="31"/>
        <v>-4106.774002719895</v>
      </c>
      <c r="AG32" s="51">
        <f t="shared" si="31"/>
        <v>-4054.1143071660845</v>
      </c>
      <c r="AH32" s="51">
        <f t="shared" si="31"/>
        <v>-3077.7091623312263</v>
      </c>
      <c r="AI32" s="51">
        <f t="shared" si="31"/>
        <v>-2107.991037652966</v>
      </c>
      <c r="AJ32" s="51">
        <f t="shared" si="31"/>
        <v>158.68309358670535</v>
      </c>
      <c r="AK32" s="51">
        <f t="shared" si="31"/>
        <v>571.0909879671635</v>
      </c>
      <c r="AL32" s="51">
        <f t="shared" si="31"/>
        <v>24.399402269341408</v>
      </c>
      <c r="AM32" s="78">
        <f t="shared" si="24"/>
        <v>-23975.026655662747</v>
      </c>
      <c r="AN32" s="78">
        <f t="shared" si="32"/>
        <v>-39852.92999999998</v>
      </c>
      <c r="AO32" s="78">
        <f t="shared" si="32"/>
        <v>-802</v>
      </c>
      <c r="AP32" s="78">
        <f t="shared" si="26"/>
        <v>-64629.956655662725</v>
      </c>
      <c r="AQ32" s="78">
        <f>N32-AB32</f>
        <v>-71883</v>
      </c>
      <c r="AR32" s="78">
        <f>AP32/AQ32</f>
        <v>0.8990993232845419</v>
      </c>
      <c r="AT32" s="252">
        <f t="shared" si="33"/>
        <v>0.7052676335542042</v>
      </c>
      <c r="AU32" s="252">
        <f t="shared" si="33"/>
        <v>0.5619975544820371</v>
      </c>
      <c r="AV32" s="252">
        <f t="shared" si="33"/>
        <v>0.9037948269270472</v>
      </c>
      <c r="AW32" s="252">
        <f t="shared" si="33"/>
        <v>0.8658336374062993</v>
      </c>
      <c r="AX32" s="252">
        <f t="shared" si="33"/>
        <v>0.9119208995197234</v>
      </c>
      <c r="AY32" s="252">
        <f t="shared" si="33"/>
        <v>1.1368315227100845</v>
      </c>
      <c r="AZ32" s="252">
        <f t="shared" si="33"/>
        <v>1.0537085979333944</v>
      </c>
      <c r="BA32" s="252">
        <f t="shared" si="33"/>
        <v>1.0056087219883032</v>
      </c>
    </row>
    <row r="33" spans="1:85" s="95" customFormat="1" ht="12.75">
      <c r="A33" s="89">
        <f>'[3]MONTH3'!$A27</f>
        <v>39533</v>
      </c>
      <c r="B33" s="51">
        <f>'[3]MONTH3'!B27</f>
        <v>33357.69</v>
      </c>
      <c r="C33" s="51">
        <f>'[3]MONTH3'!C27</f>
        <v>3472.3</v>
      </c>
      <c r="D33" s="51">
        <f>'[3]MONTH3'!D27</f>
        <v>31832.99</v>
      </c>
      <c r="E33" s="51">
        <f>'[3]MONTH3'!E27</f>
        <v>18957.84</v>
      </c>
      <c r="F33" s="51">
        <f>'[3]MONTH3'!F27</f>
        <v>24766.31</v>
      </c>
      <c r="G33" s="51">
        <f>'[3]MONTH3'!G27</f>
        <v>1386.02</v>
      </c>
      <c r="H33" s="51">
        <f>'[3]MONTH3'!H27</f>
        <v>10624.2</v>
      </c>
      <c r="I33" s="52">
        <f>'[4]MONTH3'!I27</f>
        <v>4094.17</v>
      </c>
      <c r="J33" s="78">
        <f t="shared" si="16"/>
        <v>128491.52</v>
      </c>
      <c r="K33" s="52">
        <f>'[3]MONTH3'!J27</f>
        <v>72857.25999999998</v>
      </c>
      <c r="L33" s="52">
        <f>'[3]MONTH3'!K27</f>
        <v>88832</v>
      </c>
      <c r="M33" s="78">
        <f t="shared" si="17"/>
        <v>290180.77999999997</v>
      </c>
      <c r="N33" s="96">
        <v>290668</v>
      </c>
      <c r="O33" s="64">
        <f t="shared" si="18"/>
        <v>0.9983237920926967</v>
      </c>
      <c r="P33" s="78">
        <f t="shared" si="19"/>
        <v>38620.16162961578</v>
      </c>
      <c r="Q33" s="78">
        <f t="shared" si="3"/>
        <v>9376.144002719895</v>
      </c>
      <c r="R33" s="78">
        <f t="shared" si="4"/>
        <v>42140.294307166085</v>
      </c>
      <c r="S33" s="78">
        <f t="shared" si="5"/>
        <v>22939.499162331227</v>
      </c>
      <c r="T33" s="78">
        <f t="shared" si="6"/>
        <v>23932.931037652965</v>
      </c>
      <c r="U33" s="78">
        <f t="shared" si="7"/>
        <v>1159.6969064132948</v>
      </c>
      <c r="V33" s="78">
        <f t="shared" si="8"/>
        <v>10633.139012032836</v>
      </c>
      <c r="W33" s="78">
        <f t="shared" si="13"/>
        <v>4350.260597730658</v>
      </c>
      <c r="X33" s="78">
        <f t="shared" si="20"/>
        <v>153152.12665566275</v>
      </c>
      <c r="Y33" s="78">
        <f t="shared" si="14"/>
        <v>108225</v>
      </c>
      <c r="Z33" s="78">
        <f t="shared" si="9"/>
        <v>91175</v>
      </c>
      <c r="AA33" s="78">
        <f t="shared" si="21"/>
        <v>352552.1266556628</v>
      </c>
      <c r="AB33" s="78">
        <f t="shared" si="15"/>
        <v>362550</v>
      </c>
      <c r="AC33" s="76">
        <f t="shared" si="22"/>
        <v>0.9724234633999801</v>
      </c>
      <c r="AD33" s="77"/>
      <c r="AE33" s="78">
        <f t="shared" si="31"/>
        <v>-5262.4716296157785</v>
      </c>
      <c r="AF33" s="51">
        <f t="shared" si="31"/>
        <v>-5903.844002719895</v>
      </c>
      <c r="AG33" s="51">
        <f t="shared" si="31"/>
        <v>-10307.304307166083</v>
      </c>
      <c r="AH33" s="51">
        <f t="shared" si="31"/>
        <v>-3981.659162331227</v>
      </c>
      <c r="AI33" s="51">
        <f t="shared" si="31"/>
        <v>833.3789623470366</v>
      </c>
      <c r="AJ33" s="51">
        <f t="shared" si="31"/>
        <v>226.32309358670523</v>
      </c>
      <c r="AK33" s="51">
        <f t="shared" si="31"/>
        <v>-8.939012032835308</v>
      </c>
      <c r="AL33" s="51">
        <f t="shared" si="31"/>
        <v>-256.0905977306584</v>
      </c>
      <c r="AM33" s="78">
        <f t="shared" si="24"/>
        <v>-24660.606655662734</v>
      </c>
      <c r="AN33" s="78">
        <f t="shared" si="32"/>
        <v>-35367.74000000002</v>
      </c>
      <c r="AO33" s="78">
        <f t="shared" si="32"/>
        <v>-2343</v>
      </c>
      <c r="AP33" s="78">
        <f t="shared" si="26"/>
        <v>-62371.34665566275</v>
      </c>
      <c r="AQ33" s="78">
        <f>N33-AB33</f>
        <v>-71882</v>
      </c>
      <c r="AR33" s="91">
        <f>AP33/AQ33</f>
        <v>0.8676907522837811</v>
      </c>
      <c r="AS33" s="60"/>
      <c r="AT33" s="252">
        <f t="shared" si="33"/>
        <v>0.863737710885698</v>
      </c>
      <c r="AU33" s="252">
        <f t="shared" si="33"/>
        <v>0.37033347599959343</v>
      </c>
      <c r="AV33" s="252">
        <f t="shared" si="33"/>
        <v>0.7554050232294345</v>
      </c>
      <c r="AW33" s="252">
        <f t="shared" si="33"/>
        <v>0.8264278075927012</v>
      </c>
      <c r="AX33" s="252">
        <f t="shared" si="33"/>
        <v>1.0348214333228098</v>
      </c>
      <c r="AY33" s="252">
        <f t="shared" si="33"/>
        <v>1.1951571072882106</v>
      </c>
      <c r="AZ33" s="252">
        <f t="shared" si="33"/>
        <v>0.9991593251980699</v>
      </c>
      <c r="BA33" s="252">
        <f t="shared" si="33"/>
        <v>0.9411321248514974</v>
      </c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s="95" customFormat="1" ht="12.75">
      <c r="A34" s="89">
        <f>'[3]MONTH3'!$A28</f>
        <v>39534</v>
      </c>
      <c r="B34" s="51">
        <f>'[3]MONTH3'!B28</f>
        <v>33494.08</v>
      </c>
      <c r="C34" s="51">
        <f>'[3]MONTH3'!C28</f>
        <v>4415.27</v>
      </c>
      <c r="D34" s="51">
        <f>'[3]MONTH3'!D28</f>
        <v>43250.87</v>
      </c>
      <c r="E34" s="51">
        <f>'[3]MONTH3'!E28</f>
        <v>24086.13</v>
      </c>
      <c r="F34" s="51">
        <f>'[3]MONTH3'!F28</f>
        <v>24776</v>
      </c>
      <c r="G34" s="51">
        <f>'[3]MONTH3'!G28</f>
        <v>1473.33</v>
      </c>
      <c r="H34" s="51">
        <f>'[3]MONTH3'!H28</f>
        <v>12892.77</v>
      </c>
      <c r="I34" s="52">
        <f>'[4]MONTH3'!I28</f>
        <v>5191.82</v>
      </c>
      <c r="J34" s="78">
        <f t="shared" si="16"/>
        <v>149580.27</v>
      </c>
      <c r="K34" s="52">
        <f>'[3]MONTH3'!J28</f>
        <v>84465.63999999998</v>
      </c>
      <c r="L34" s="52">
        <f>'[3]MONTH3'!K28</f>
        <v>142010</v>
      </c>
      <c r="M34" s="78">
        <f t="shared" si="17"/>
        <v>376055.91</v>
      </c>
      <c r="N34" s="96">
        <v>290669</v>
      </c>
      <c r="O34" s="64">
        <f t="shared" si="18"/>
        <v>1.2937599468811602</v>
      </c>
      <c r="P34" s="78">
        <f t="shared" si="19"/>
        <v>38620.16162961578</v>
      </c>
      <c r="Q34" s="78">
        <f t="shared" si="3"/>
        <v>9376.144002719895</v>
      </c>
      <c r="R34" s="78">
        <f t="shared" si="4"/>
        <v>42140.294307166085</v>
      </c>
      <c r="S34" s="78">
        <f t="shared" si="5"/>
        <v>22939.499162331227</v>
      </c>
      <c r="T34" s="78">
        <f t="shared" si="6"/>
        <v>23932.931037652965</v>
      </c>
      <c r="U34" s="78">
        <f t="shared" si="7"/>
        <v>1159.6969064132948</v>
      </c>
      <c r="V34" s="78">
        <f t="shared" si="8"/>
        <v>10633.139012032836</v>
      </c>
      <c r="W34" s="78">
        <f t="shared" si="13"/>
        <v>4350.260597730658</v>
      </c>
      <c r="X34" s="78">
        <f t="shared" si="20"/>
        <v>153152.12665566275</v>
      </c>
      <c r="Y34" s="78">
        <f t="shared" si="14"/>
        <v>108225</v>
      </c>
      <c r="Z34" s="78">
        <f t="shared" si="9"/>
        <v>91175</v>
      </c>
      <c r="AA34" s="78">
        <f t="shared" si="21"/>
        <v>352552.1266556628</v>
      </c>
      <c r="AB34" s="78">
        <f t="shared" si="15"/>
        <v>362550</v>
      </c>
      <c r="AC34" s="76">
        <f t="shared" si="22"/>
        <v>0.9724234633999801</v>
      </c>
      <c r="AD34" s="77"/>
      <c r="AE34" s="78">
        <f t="shared" si="31"/>
        <v>-5126.081629615779</v>
      </c>
      <c r="AF34" s="51">
        <f t="shared" si="31"/>
        <v>-4960.874002719895</v>
      </c>
      <c r="AG34" s="51">
        <f t="shared" si="31"/>
        <v>1110.5756928339179</v>
      </c>
      <c r="AH34" s="51">
        <f t="shared" si="31"/>
        <v>1146.630837668774</v>
      </c>
      <c r="AI34" s="51">
        <f t="shared" si="31"/>
        <v>843.0689623470353</v>
      </c>
      <c r="AJ34" s="51">
        <f t="shared" si="31"/>
        <v>313.6330935867052</v>
      </c>
      <c r="AK34" s="51">
        <f t="shared" si="31"/>
        <v>2259.6309879671644</v>
      </c>
      <c r="AL34" s="51">
        <f t="shared" si="31"/>
        <v>841.5594022693413</v>
      </c>
      <c r="AM34" s="78">
        <f t="shared" si="24"/>
        <v>-3571.8566556627356</v>
      </c>
      <c r="AN34" s="78">
        <f t="shared" si="32"/>
        <v>-23759.360000000015</v>
      </c>
      <c r="AO34" s="78">
        <f t="shared" si="32"/>
        <v>50835</v>
      </c>
      <c r="AP34" s="78">
        <f t="shared" si="26"/>
        <v>23503.78334433725</v>
      </c>
      <c r="AQ34" s="78">
        <f>N34-AB34</f>
        <v>-71881</v>
      </c>
      <c r="AR34" s="91">
        <f>AP34/AQ34</f>
        <v>-0.32698186369607063</v>
      </c>
      <c r="AS34" s="60"/>
      <c r="AT34" s="252">
        <f t="shared" si="33"/>
        <v>0.8672692859554255</v>
      </c>
      <c r="AU34" s="252">
        <f t="shared" si="33"/>
        <v>0.47090467026948274</v>
      </c>
      <c r="AV34" s="252">
        <f t="shared" si="33"/>
        <v>1.026354246240873</v>
      </c>
      <c r="AW34" s="252">
        <f t="shared" si="33"/>
        <v>1.0499849987811263</v>
      </c>
      <c r="AX34" s="252">
        <f t="shared" si="33"/>
        <v>1.0352263147802774</v>
      </c>
      <c r="AY34" s="252">
        <f t="shared" si="33"/>
        <v>1.2704440202024063</v>
      </c>
      <c r="AZ34" s="252">
        <f t="shared" si="33"/>
        <v>1.2125083651600987</v>
      </c>
      <c r="BA34" s="252">
        <f t="shared" si="33"/>
        <v>1.1934503424250829</v>
      </c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53" s="60" customFormat="1" ht="12.75">
      <c r="A35" s="89">
        <f>'[3]MONTH3'!$A29</f>
        <v>39535</v>
      </c>
      <c r="B35" s="51">
        <f>'[3]MONTH3'!B29</f>
        <v>36476.72</v>
      </c>
      <c r="C35" s="51">
        <f>'[3]MONTH3'!C29</f>
        <v>6944.51</v>
      </c>
      <c r="D35" s="51">
        <f>'[3]MONTH3'!D29</f>
        <v>40268.49</v>
      </c>
      <c r="E35" s="51">
        <f>'[3]MONTH3'!E29</f>
        <v>17960.3</v>
      </c>
      <c r="F35" s="51">
        <f>'[3]MONTH3'!F29</f>
        <v>18299.31</v>
      </c>
      <c r="G35" s="51">
        <f>'[3]MONTH3'!G29</f>
        <v>1219.78</v>
      </c>
      <c r="H35" s="51">
        <f>'[3]MONTH3'!H29</f>
        <v>10543.23</v>
      </c>
      <c r="I35" s="52">
        <f>'[4]MONTH3'!I29</f>
        <v>6233.32</v>
      </c>
      <c r="J35" s="78">
        <f t="shared" si="16"/>
        <v>137945.66</v>
      </c>
      <c r="K35" s="52">
        <f>'[3]MONTH3'!J29</f>
        <v>62520.18000000002</v>
      </c>
      <c r="L35" s="52">
        <f>'[3]MONTH3'!K29</f>
        <v>124726</v>
      </c>
      <c r="M35" s="78">
        <f t="shared" si="17"/>
        <v>325191.84</v>
      </c>
      <c r="N35" s="96">
        <v>290670</v>
      </c>
      <c r="O35" s="64">
        <f t="shared" si="18"/>
        <v>1.118766436164723</v>
      </c>
      <c r="P35" s="78">
        <f t="shared" si="19"/>
        <v>38620.16162961578</v>
      </c>
      <c r="Q35" s="78">
        <f t="shared" si="3"/>
        <v>9376.144002719895</v>
      </c>
      <c r="R35" s="78">
        <f t="shared" si="4"/>
        <v>42140.294307166085</v>
      </c>
      <c r="S35" s="78">
        <f t="shared" si="5"/>
        <v>22939.499162331227</v>
      </c>
      <c r="T35" s="78">
        <f t="shared" si="6"/>
        <v>23932.931037652965</v>
      </c>
      <c r="U35" s="78">
        <f t="shared" si="7"/>
        <v>1159.6969064132948</v>
      </c>
      <c r="V35" s="78">
        <f t="shared" si="8"/>
        <v>10633.139012032836</v>
      </c>
      <c r="W35" s="78">
        <f t="shared" si="13"/>
        <v>4350.260597730658</v>
      </c>
      <c r="X35" s="78">
        <f t="shared" si="20"/>
        <v>153152.12665566275</v>
      </c>
      <c r="Y35" s="78">
        <f t="shared" si="14"/>
        <v>108225</v>
      </c>
      <c r="Z35" s="78">
        <f t="shared" si="9"/>
        <v>91175</v>
      </c>
      <c r="AA35" s="78">
        <f t="shared" si="21"/>
        <v>352552.1266556628</v>
      </c>
      <c r="AB35" s="78">
        <f t="shared" si="15"/>
        <v>362550</v>
      </c>
      <c r="AC35" s="76">
        <f t="shared" si="22"/>
        <v>0.9724234633999801</v>
      </c>
      <c r="AD35" s="77"/>
      <c r="AE35" s="78">
        <f t="shared" si="31"/>
        <v>-2143.4416296157797</v>
      </c>
      <c r="AF35" s="51">
        <f t="shared" si="31"/>
        <v>-2431.634002719895</v>
      </c>
      <c r="AG35" s="51">
        <f t="shared" si="31"/>
        <v>-1871.8043071660868</v>
      </c>
      <c r="AH35" s="51">
        <f t="shared" si="31"/>
        <v>-4979.199162331228</v>
      </c>
      <c r="AI35" s="51">
        <f t="shared" si="31"/>
        <v>-5633.621037652963</v>
      </c>
      <c r="AJ35" s="51">
        <f t="shared" si="31"/>
        <v>60.08309358670522</v>
      </c>
      <c r="AK35" s="51">
        <f t="shared" si="31"/>
        <v>-89.90901203283647</v>
      </c>
      <c r="AL35" s="51">
        <f t="shared" si="31"/>
        <v>1883.0594022693413</v>
      </c>
      <c r="AM35" s="78">
        <f t="shared" si="24"/>
        <v>-15206.466655662745</v>
      </c>
      <c r="AN35" s="78">
        <f t="shared" si="32"/>
        <v>-45704.81999999998</v>
      </c>
      <c r="AO35" s="78">
        <f t="shared" si="32"/>
        <v>33551</v>
      </c>
      <c r="AP35" s="78">
        <f t="shared" si="26"/>
        <v>-27360.286655662727</v>
      </c>
      <c r="AQ35" s="78">
        <f>N35-AB35</f>
        <v>-71880</v>
      </c>
      <c r="AR35" s="78">
        <f>AP35/AQ35</f>
        <v>0.3806383786263596</v>
      </c>
      <c r="AT35" s="252">
        <f t="shared" si="33"/>
        <v>0.9444994132812721</v>
      </c>
      <c r="AU35" s="252">
        <f t="shared" si="33"/>
        <v>0.7406573531705027</v>
      </c>
      <c r="AV35" s="252">
        <f t="shared" si="33"/>
        <v>0.9555816033575308</v>
      </c>
      <c r="AW35" s="252">
        <f t="shared" si="33"/>
        <v>0.7829421153837773</v>
      </c>
      <c r="AX35" s="252">
        <f t="shared" si="33"/>
        <v>0.7646079776526429</v>
      </c>
      <c r="AY35" s="252">
        <f t="shared" si="33"/>
        <v>1.0518093074616626</v>
      </c>
      <c r="AZ35" s="252">
        <f t="shared" si="33"/>
        <v>0.991544452496004</v>
      </c>
      <c r="BA35" s="252">
        <f t="shared" si="33"/>
        <v>1.4328612872644115</v>
      </c>
    </row>
    <row r="36" spans="1:53" s="206" customFormat="1" ht="12.75">
      <c r="A36" s="199">
        <f>'[3]MONTH3'!$A30</f>
        <v>39536</v>
      </c>
      <c r="B36" s="200">
        <f>'[3]MONTH3'!B30</f>
        <v>21703.52</v>
      </c>
      <c r="C36" s="200">
        <f>'[3]MONTH3'!C30</f>
        <v>9540.3</v>
      </c>
      <c r="D36" s="200">
        <f>'[3]MONTH3'!D30</f>
        <v>22729.07</v>
      </c>
      <c r="E36" s="200">
        <f>'[3]MONTH3'!E30</f>
        <v>9552.92</v>
      </c>
      <c r="F36" s="200">
        <f>'[3]MONTH3'!F30</f>
        <v>13987.93</v>
      </c>
      <c r="G36" s="200">
        <f>'[3]MONTH3'!G30</f>
        <v>535.22</v>
      </c>
      <c r="H36" s="200">
        <f>'[3]MONTH3'!H30</f>
        <v>6431.7</v>
      </c>
      <c r="I36" s="201">
        <f>'[4]MONTH3'!I30</f>
        <v>3757.67</v>
      </c>
      <c r="J36" s="202">
        <f t="shared" si="16"/>
        <v>88238.32999999999</v>
      </c>
      <c r="K36" s="201">
        <f>'[3]MONTH3'!J30</f>
        <v>40170.59000000002</v>
      </c>
      <c r="L36" s="201">
        <f>'[3]MONTH3'!K30</f>
        <v>65854</v>
      </c>
      <c r="M36" s="202">
        <f t="shared" si="17"/>
        <v>194262.92</v>
      </c>
      <c r="N36" s="226">
        <v>290671</v>
      </c>
      <c r="O36" s="203">
        <f t="shared" si="18"/>
        <v>0.6683257703726895</v>
      </c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4"/>
      <c r="AD36" s="205"/>
      <c r="AE36" s="202"/>
      <c r="AF36" s="200"/>
      <c r="AG36" s="200"/>
      <c r="AH36" s="200"/>
      <c r="AI36" s="200"/>
      <c r="AJ36" s="200"/>
      <c r="AK36" s="200"/>
      <c r="AL36" s="200"/>
      <c r="AM36" s="202"/>
      <c r="AN36" s="202"/>
      <c r="AO36" s="202"/>
      <c r="AP36" s="202"/>
      <c r="AQ36" s="202"/>
      <c r="AR36" s="202" t="e">
        <f>AP36/AQ36</f>
        <v>#DIV/0!</v>
      </c>
      <c r="AT36" s="253"/>
      <c r="AU36" s="253"/>
      <c r="AV36" s="253"/>
      <c r="AW36" s="253"/>
      <c r="AX36" s="253"/>
      <c r="AY36" s="253"/>
      <c r="AZ36" s="253"/>
      <c r="BA36" s="253"/>
    </row>
    <row r="37" spans="1:53" s="206" customFormat="1" ht="12.75">
      <c r="A37" s="199">
        <f>'[3]MONTH3'!$A31</f>
        <v>39537</v>
      </c>
      <c r="B37" s="200">
        <f>'[3]MONTH3'!B31</f>
        <v>10548.74</v>
      </c>
      <c r="C37" s="200">
        <f>'[3]MONTH3'!C31</f>
        <v>4459.66</v>
      </c>
      <c r="D37" s="200">
        <f>'[3]MONTH3'!D31</f>
        <v>15126.7</v>
      </c>
      <c r="E37" s="200">
        <f>'[3]MONTH3'!E31</f>
        <v>5636.08</v>
      </c>
      <c r="F37" s="200">
        <f>'[3]MONTH3'!F31</f>
        <v>7641.25</v>
      </c>
      <c r="G37" s="200">
        <f>'[3]MONTH3'!G31</f>
        <v>242.26</v>
      </c>
      <c r="H37" s="200">
        <f>'[3]MONTH3'!H31</f>
        <v>7217.46</v>
      </c>
      <c r="I37" s="201">
        <f>'[4]MONTH3'!I31</f>
        <v>1514.3</v>
      </c>
      <c r="J37" s="202">
        <f t="shared" si="16"/>
        <v>52386.450000000004</v>
      </c>
      <c r="K37" s="201">
        <f>'[3]MONTH3'!J31</f>
        <v>24356.49</v>
      </c>
      <c r="L37" s="201">
        <f>'[3]MONTH3'!K31</f>
        <v>35608</v>
      </c>
      <c r="M37" s="202">
        <f t="shared" si="17"/>
        <v>112350.94</v>
      </c>
      <c r="N37" s="226">
        <v>290672</v>
      </c>
      <c r="O37" s="203">
        <f t="shared" si="18"/>
        <v>0.3865213711675015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4"/>
      <c r="AD37" s="205"/>
      <c r="AE37" s="202"/>
      <c r="AF37" s="200"/>
      <c r="AG37" s="200"/>
      <c r="AH37" s="200"/>
      <c r="AI37" s="200"/>
      <c r="AJ37" s="200"/>
      <c r="AK37" s="200"/>
      <c r="AL37" s="200"/>
      <c r="AM37" s="202"/>
      <c r="AN37" s="202"/>
      <c r="AO37" s="202"/>
      <c r="AP37" s="202"/>
      <c r="AQ37" s="202"/>
      <c r="AR37" s="202"/>
      <c r="AT37" s="253"/>
      <c r="AU37" s="253"/>
      <c r="AV37" s="253"/>
      <c r="AW37" s="253"/>
      <c r="AX37" s="253"/>
      <c r="AY37" s="253"/>
      <c r="AZ37" s="253"/>
      <c r="BA37" s="253"/>
    </row>
    <row r="38" spans="1:53" s="60" customFormat="1" ht="12.75">
      <c r="A38" s="89">
        <f>'[3]MONTH3'!$A32</f>
        <v>39538</v>
      </c>
      <c r="B38" s="51">
        <f>'[3]MONTH3'!B32</f>
        <v>29312.21</v>
      </c>
      <c r="C38" s="51">
        <f>'[3]MONTH3'!C32</f>
        <v>8941.36</v>
      </c>
      <c r="D38" s="51">
        <f>'[3]MONTH3'!D32</f>
        <v>35574.2</v>
      </c>
      <c r="E38" s="51">
        <f>'[3]MONTH3'!E32</f>
        <v>15512.63</v>
      </c>
      <c r="F38" s="51">
        <f>'[3]MONTH3'!F32</f>
        <v>20507.42</v>
      </c>
      <c r="G38" s="51">
        <f>'[3]MONTH3'!G32</f>
        <v>1247.99</v>
      </c>
      <c r="H38" s="51">
        <f>'[3]MONTH3'!H32</f>
        <v>14052.9</v>
      </c>
      <c r="I38" s="52">
        <f>'[4]MONTH3'!I32</f>
        <v>6281.53</v>
      </c>
      <c r="J38" s="78">
        <f t="shared" si="16"/>
        <v>131430.24</v>
      </c>
      <c r="K38" s="52">
        <f>'[3]MONTH3'!J32</f>
        <v>56367.83000000002</v>
      </c>
      <c r="L38" s="52">
        <f>'[3]MONTH3'!K32</f>
        <v>96891</v>
      </c>
      <c r="M38" s="78">
        <f t="shared" si="17"/>
        <v>284689.07</v>
      </c>
      <c r="N38" s="96">
        <v>856988</v>
      </c>
      <c r="O38" s="64">
        <f>M38/N38</f>
        <v>0.33219726530593197</v>
      </c>
      <c r="P38" s="78">
        <f>$X$3/$X$5*($P$1/$X$1)</f>
        <v>38620.16162961578</v>
      </c>
      <c r="Q38" s="78">
        <f>$X$3/$X$5*($Q$1/$X$1)</f>
        <v>9376.144002719895</v>
      </c>
      <c r="R38" s="78">
        <f>$X$3/$X$5*($R$1/$X$1)</f>
        <v>42140.294307166085</v>
      </c>
      <c r="S38" s="78">
        <f>$X$3/$X$5*($S$1/$X$1)</f>
        <v>22939.499162331227</v>
      </c>
      <c r="T38" s="78">
        <f>$X$3/$X$5*($T$1/$X$1)</f>
        <v>23932.931037652965</v>
      </c>
      <c r="U38" s="78">
        <f>$X$3/$X$5*($U$1/$X$1)</f>
        <v>1159.6969064132948</v>
      </c>
      <c r="V38" s="78">
        <f>$X$3/$X$5*($V$1/$X$1)</f>
        <v>10633.139012032836</v>
      </c>
      <c r="W38" s="78">
        <f>$X$3/$X$5*($W$1/$X$1)</f>
        <v>4350.260597730658</v>
      </c>
      <c r="X38" s="78">
        <f>SUM(P38:W38)</f>
        <v>153152.12665566275</v>
      </c>
      <c r="Y38" s="78">
        <f>$Y$3/$X$5</f>
        <v>108225</v>
      </c>
      <c r="Z38" s="78">
        <f t="shared" si="9"/>
        <v>91175</v>
      </c>
      <c r="AA38" s="78">
        <f t="shared" si="21"/>
        <v>352552.1266556628</v>
      </c>
      <c r="AB38" s="78">
        <f t="shared" si="15"/>
        <v>362550</v>
      </c>
      <c r="AC38" s="76">
        <f t="shared" si="22"/>
        <v>0.9724234633999801</v>
      </c>
      <c r="AD38" s="77"/>
      <c r="AE38" s="78">
        <f aca="true" t="shared" si="34" ref="AE38:AL38">B38-P38</f>
        <v>-9307.951629615782</v>
      </c>
      <c r="AF38" s="51">
        <f t="shared" si="34"/>
        <v>-434.7840027198945</v>
      </c>
      <c r="AG38" s="51">
        <f t="shared" si="34"/>
        <v>-6566.094307166088</v>
      </c>
      <c r="AH38" s="51">
        <f t="shared" si="34"/>
        <v>-7426.869162331228</v>
      </c>
      <c r="AI38" s="51">
        <f t="shared" si="34"/>
        <v>-3425.5110376529665</v>
      </c>
      <c r="AJ38" s="51">
        <f t="shared" si="34"/>
        <v>88.29309358670525</v>
      </c>
      <c r="AK38" s="51">
        <f t="shared" si="34"/>
        <v>3419.7609879671636</v>
      </c>
      <c r="AL38" s="51">
        <f t="shared" si="34"/>
        <v>1931.2694022693413</v>
      </c>
      <c r="AM38" s="78">
        <f t="shared" si="24"/>
        <v>-21721.886655662754</v>
      </c>
      <c r="AN38" s="78">
        <f>K38-Y38</f>
        <v>-51857.16999999998</v>
      </c>
      <c r="AO38" s="78">
        <f>L38-Z38</f>
        <v>5716</v>
      </c>
      <c r="AP38" s="78">
        <f>SUM(AM38:AO38)</f>
        <v>-67863.05665566273</v>
      </c>
      <c r="AQ38" s="78">
        <f>N38-AB38</f>
        <v>494438</v>
      </c>
      <c r="AR38" s="78"/>
      <c r="AT38" s="252">
        <f aca="true" t="shared" si="35" ref="AT38:BA38">B38/P38</f>
        <v>0.7589872430135559</v>
      </c>
      <c r="AU38" s="252">
        <f t="shared" si="35"/>
        <v>0.9536286982587118</v>
      </c>
      <c r="AV38" s="252">
        <f t="shared" si="35"/>
        <v>0.8441848967806211</v>
      </c>
      <c r="AW38" s="252">
        <f t="shared" si="35"/>
        <v>0.6762410064066773</v>
      </c>
      <c r="AX38" s="252">
        <f t="shared" si="35"/>
        <v>0.8568703920023957</v>
      </c>
      <c r="AY38" s="252">
        <f t="shared" si="35"/>
        <v>1.076134628883143</v>
      </c>
      <c r="AZ38" s="252">
        <f t="shared" si="35"/>
        <v>1.3216134938231543</v>
      </c>
      <c r="BA38" s="252">
        <f t="shared" si="35"/>
        <v>1.4439433819842427</v>
      </c>
    </row>
    <row r="39" spans="1:53" s="60" customFormat="1" ht="12.75">
      <c r="A39" s="89"/>
      <c r="B39" s="51"/>
      <c r="C39" s="51"/>
      <c r="D39" s="51"/>
      <c r="E39" s="51"/>
      <c r="F39" s="51"/>
      <c r="G39" s="51"/>
      <c r="H39" s="51"/>
      <c r="I39" s="52"/>
      <c r="J39" s="78"/>
      <c r="K39" s="52"/>
      <c r="L39" s="52"/>
      <c r="M39" s="78"/>
      <c r="N39" s="96"/>
      <c r="O39" s="64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96"/>
      <c r="AR39" s="78"/>
      <c r="AT39" s="252"/>
      <c r="AU39" s="252"/>
      <c r="AV39" s="252"/>
      <c r="AW39" s="252"/>
      <c r="AX39" s="252"/>
      <c r="AY39" s="252"/>
      <c r="AZ39" s="252"/>
      <c r="BA39" s="252"/>
    </row>
    <row r="40" spans="1:130" s="79" customFormat="1" ht="12.75">
      <c r="A40" s="89"/>
      <c r="B40" s="51"/>
      <c r="C40" s="51"/>
      <c r="D40" s="51"/>
      <c r="E40" s="51"/>
      <c r="F40" s="51"/>
      <c r="G40" s="51"/>
      <c r="H40" s="51"/>
      <c r="I40" s="52"/>
      <c r="J40" s="80"/>
      <c r="K40" s="52"/>
      <c r="L40" s="52"/>
      <c r="M40" s="80"/>
      <c r="N40" s="63"/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2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3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3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728542.5499999999</v>
      </c>
      <c r="C43" s="181">
        <f aca="true" t="shared" si="36" ref="C43:I43">SUM(C8:C42)</f>
        <v>203997.27000000002</v>
      </c>
      <c r="D43" s="181">
        <f>SUM(D8:D42)</f>
        <v>943500.1099999999</v>
      </c>
      <c r="E43" s="181">
        <f t="shared" si="36"/>
        <v>536155.01</v>
      </c>
      <c r="F43" s="181">
        <f t="shared" si="36"/>
        <v>531625.6699999999</v>
      </c>
      <c r="G43" s="181">
        <f t="shared" si="36"/>
        <v>25114.18</v>
      </c>
      <c r="H43" s="181">
        <f t="shared" si="36"/>
        <v>230067</v>
      </c>
      <c r="I43" s="181">
        <f t="shared" si="36"/>
        <v>92843.54000000001</v>
      </c>
      <c r="J43" s="181">
        <f>SUM(J8:J42)</f>
        <v>3238614.12</v>
      </c>
      <c r="K43" s="181">
        <f>SUM(K8:K42)</f>
        <v>1753936.0300000003</v>
      </c>
      <c r="L43" s="181">
        <f>SUM(L8:L42)</f>
        <v>2537333</v>
      </c>
      <c r="M43" s="181">
        <f>SUM(M8:M42)</f>
        <v>7529883.15</v>
      </c>
      <c r="N43" s="182">
        <f>SUM(N8:N42)</f>
        <v>8106913</v>
      </c>
      <c r="O43" s="64">
        <f>M43/N43</f>
        <v>0.928822493839517</v>
      </c>
      <c r="P43" s="180">
        <f>SUM(P9:P42)</f>
        <v>811023.3942219316</v>
      </c>
      <c r="Q43" s="180">
        <f aca="true" t="shared" si="37" ref="Q43:W43">SUM(Q9:Q42)</f>
        <v>196899.02405711784</v>
      </c>
      <c r="R43" s="180">
        <f t="shared" si="37"/>
        <v>884946.180450488</v>
      </c>
      <c r="S43" s="180">
        <f t="shared" si="37"/>
        <v>481729.48240895575</v>
      </c>
      <c r="T43" s="180">
        <f t="shared" si="37"/>
        <v>502591.5517907121</v>
      </c>
      <c r="U43" s="180">
        <f t="shared" si="37"/>
        <v>24353.635034679188</v>
      </c>
      <c r="V43" s="180">
        <f t="shared" si="37"/>
        <v>223295.91925268946</v>
      </c>
      <c r="W43" s="180">
        <f t="shared" si="37"/>
        <v>91355.4725523438</v>
      </c>
      <c r="X43" s="180">
        <f>SUM(X8:X42)</f>
        <v>3216194.6597689185</v>
      </c>
      <c r="Y43" s="180">
        <f>SUM(Y9:Y42)</f>
        <v>2272725</v>
      </c>
      <c r="Z43" s="180">
        <f>SUM(Z9:Z42)</f>
        <v>1914675</v>
      </c>
      <c r="AA43" s="180">
        <f>SUM(AA9:AA42)</f>
        <v>7403594.659768916</v>
      </c>
      <c r="AB43" s="180">
        <f>SUM(AB9:AB42)</f>
        <v>7613550</v>
      </c>
      <c r="AC43" s="163">
        <f>AA43/AB43</f>
        <v>0.9724234633999798</v>
      </c>
      <c r="AD43" s="179"/>
      <c r="AE43" s="180">
        <f aca="true" t="shared" si="38" ref="AE43:AQ43">SUM(AE8:AE42)</f>
        <v>-127785.79422193141</v>
      </c>
      <c r="AF43" s="180">
        <f t="shared" si="38"/>
        <v>-68104.0740571178</v>
      </c>
      <c r="AG43" s="180">
        <f t="shared" si="38"/>
        <v>-72924.56045048778</v>
      </c>
      <c r="AH43" s="180">
        <f t="shared" si="38"/>
        <v>-46165.10240895576</v>
      </c>
      <c r="AI43" s="180">
        <f t="shared" si="38"/>
        <v>-60884.88179071226</v>
      </c>
      <c r="AJ43" s="180">
        <f t="shared" si="38"/>
        <v>-887.4250346791898</v>
      </c>
      <c r="AK43" s="180">
        <f t="shared" si="38"/>
        <v>-17149.869252689554</v>
      </c>
      <c r="AL43" s="180">
        <f t="shared" si="38"/>
        <v>-11435.352552343827</v>
      </c>
      <c r="AM43" s="180">
        <f t="shared" si="38"/>
        <v>-405337.05976891756</v>
      </c>
      <c r="AN43" s="180">
        <f t="shared" si="38"/>
        <v>-731109.3299999997</v>
      </c>
      <c r="AO43" s="180">
        <f t="shared" si="38"/>
        <v>304709</v>
      </c>
      <c r="AP43" s="180">
        <f t="shared" si="38"/>
        <v>-831737.3897689176</v>
      </c>
      <c r="AQ43" s="180">
        <f t="shared" si="38"/>
        <v>-1250624</v>
      </c>
      <c r="AR43" s="180">
        <f>AP43/AQ43</f>
        <v>0.665057914904014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 aca="true" t="shared" si="39" ref="B44:N44">SUM(P8:P37)</f>
        <v>772403.2325923158</v>
      </c>
      <c r="C44" s="174">
        <f t="shared" si="39"/>
        <v>187522.88005439795</v>
      </c>
      <c r="D44" s="174">
        <f t="shared" si="39"/>
        <v>842805.8861433219</v>
      </c>
      <c r="E44" s="174">
        <f t="shared" si="39"/>
        <v>458789.9832466245</v>
      </c>
      <c r="F44" s="174">
        <f t="shared" si="39"/>
        <v>478658.62075305916</v>
      </c>
      <c r="G44" s="174">
        <f t="shared" si="39"/>
        <v>23193.938128265894</v>
      </c>
      <c r="H44" s="174">
        <f t="shared" si="39"/>
        <v>212662.78024065663</v>
      </c>
      <c r="I44" s="174">
        <f t="shared" si="39"/>
        <v>87005.21195461314</v>
      </c>
      <c r="J44" s="174">
        <f t="shared" si="39"/>
        <v>3063042.5331132556</v>
      </c>
      <c r="K44" s="174">
        <f t="shared" si="39"/>
        <v>2164500</v>
      </c>
      <c r="L44" s="174">
        <f t="shared" si="39"/>
        <v>1823500</v>
      </c>
      <c r="M44" s="174">
        <f t="shared" si="39"/>
        <v>7051042.533113253</v>
      </c>
      <c r="N44" s="176">
        <f t="shared" si="39"/>
        <v>7251000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 aca="true" t="shared" si="40" ref="AE44:AQ44">P43-B43</f>
        <v>82480.84422193165</v>
      </c>
      <c r="AF44" s="175">
        <f t="shared" si="40"/>
        <v>-7098.245942882175</v>
      </c>
      <c r="AG44" s="175">
        <f t="shared" si="40"/>
        <v>-58553.92954951187</v>
      </c>
      <c r="AH44" s="175">
        <f t="shared" si="40"/>
        <v>-54425.52759104426</v>
      </c>
      <c r="AI44" s="175">
        <f t="shared" si="40"/>
        <v>-29034.118209287815</v>
      </c>
      <c r="AJ44" s="175">
        <f t="shared" si="40"/>
        <v>-760.5449653208125</v>
      </c>
      <c r="AK44" s="175">
        <f t="shared" si="40"/>
        <v>-6771.080747310538</v>
      </c>
      <c r="AL44" s="175">
        <f t="shared" si="40"/>
        <v>-1488.0674476562126</v>
      </c>
      <c r="AM44" s="175">
        <f t="shared" si="40"/>
        <v>-22419.460231081583</v>
      </c>
      <c r="AN44" s="175">
        <f t="shared" si="40"/>
        <v>518788.96999999974</v>
      </c>
      <c r="AO44" s="175">
        <f t="shared" si="40"/>
        <v>-622658</v>
      </c>
      <c r="AP44" s="175">
        <f t="shared" si="40"/>
        <v>-126288.49023108464</v>
      </c>
      <c r="AQ44" s="175">
        <f t="shared" si="40"/>
        <v>-493363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-43860.68259231583</v>
      </c>
      <c r="C45" s="183">
        <f aca="true" t="shared" si="41" ref="C45:N45">C43-C44</f>
        <v>16474.389945602074</v>
      </c>
      <c r="D45" s="183">
        <f t="shared" si="41"/>
        <v>100694.223856678</v>
      </c>
      <c r="E45" s="183">
        <f t="shared" si="41"/>
        <v>77365.02675337548</v>
      </c>
      <c r="F45" s="183">
        <f t="shared" si="41"/>
        <v>52967.04924694076</v>
      </c>
      <c r="G45" s="183">
        <f t="shared" si="41"/>
        <v>1920.241871734106</v>
      </c>
      <c r="H45" s="183">
        <f t="shared" si="41"/>
        <v>17404.219759343367</v>
      </c>
      <c r="I45" s="183">
        <f t="shared" si="41"/>
        <v>5838.328045386865</v>
      </c>
      <c r="J45" s="183">
        <f t="shared" si="41"/>
        <v>175571.58688674448</v>
      </c>
      <c r="K45" s="183">
        <f t="shared" si="41"/>
        <v>-410563.96999999974</v>
      </c>
      <c r="L45" s="183">
        <f t="shared" si="41"/>
        <v>713833</v>
      </c>
      <c r="M45" s="183">
        <f t="shared" si="41"/>
        <v>478840.61688674707</v>
      </c>
      <c r="N45" s="184">
        <f t="shared" si="41"/>
        <v>855913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-45304.949999999764</v>
      </c>
      <c r="AF45" s="82">
        <f aca="true" t="shared" si="42" ref="AF45:AQ45">AF44+AF43</f>
        <v>-75202.31999999998</v>
      </c>
      <c r="AG45" s="82">
        <f t="shared" si="42"/>
        <v>-131478.48999999964</v>
      </c>
      <c r="AH45" s="82">
        <f t="shared" si="42"/>
        <v>-100590.63000000002</v>
      </c>
      <c r="AI45" s="82">
        <f t="shared" si="42"/>
        <v>-89919.00000000007</v>
      </c>
      <c r="AJ45" s="82">
        <f t="shared" si="42"/>
        <v>-1647.9700000000023</v>
      </c>
      <c r="AK45" s="82">
        <f t="shared" si="42"/>
        <v>-23920.95000000009</v>
      </c>
      <c r="AL45" s="82">
        <f t="shared" si="42"/>
        <v>-12923.42000000004</v>
      </c>
      <c r="AM45" s="82">
        <f t="shared" si="42"/>
        <v>-427756.51999999915</v>
      </c>
      <c r="AN45" s="82">
        <f t="shared" si="42"/>
        <v>-212320.36</v>
      </c>
      <c r="AO45" s="82">
        <f t="shared" si="42"/>
        <v>-317949</v>
      </c>
      <c r="AP45" s="82">
        <f t="shared" si="42"/>
        <v>-958025.8800000022</v>
      </c>
      <c r="AQ45" s="82">
        <f t="shared" si="42"/>
        <v>-1743987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/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K47" s="8"/>
      <c r="L47" s="8"/>
      <c r="N47" s="8"/>
      <c r="O47" s="8"/>
      <c r="Q47" s="8"/>
      <c r="R47" s="8"/>
      <c r="S47" s="8"/>
      <c r="T47" s="8"/>
      <c r="U47" s="8"/>
      <c r="V47" s="41"/>
      <c r="W47" s="41"/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7529883.15</v>
      </c>
      <c r="C48" s="16"/>
      <c r="K48" s="8"/>
      <c r="L48" s="8"/>
      <c r="N48" s="8"/>
      <c r="O48" s="8"/>
      <c r="P48" s="16">
        <f>SUM(P43:W43)</f>
        <v>3216194.659768917</v>
      </c>
    </row>
    <row r="49" spans="1:15" ht="12.75">
      <c r="A49" s="43" t="s">
        <v>64</v>
      </c>
      <c r="B49" s="101">
        <f>N43</f>
        <v>8106913</v>
      </c>
      <c r="K49" s="8"/>
      <c r="L49" s="8"/>
      <c r="N49" s="8"/>
      <c r="O49" s="8"/>
    </row>
    <row r="50" spans="1:16" ht="12.75">
      <c r="A50" s="9" t="s">
        <v>63</v>
      </c>
      <c r="B50" s="102">
        <f>B48/B49</f>
        <v>0.928822493839517</v>
      </c>
      <c r="K50" s="8"/>
      <c r="L50" s="8"/>
      <c r="N50" s="8"/>
      <c r="O50" s="8"/>
      <c r="P50" s="16">
        <f>P44-P48</f>
        <v>-3216194.659768917</v>
      </c>
    </row>
    <row r="51" spans="11:15" ht="12.75"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1:15" ht="12.75">
      <c r="K53" s="8"/>
      <c r="L53" s="8"/>
      <c r="N53" s="8"/>
      <c r="O53" s="8"/>
    </row>
    <row r="54" spans="1:15" ht="12.75">
      <c r="A54" s="243" t="s">
        <v>202</v>
      </c>
      <c r="B54" s="242">
        <v>728542.55</v>
      </c>
      <c r="C54" s="242">
        <v>203997.27</v>
      </c>
      <c r="D54" s="242">
        <v>943500.11</v>
      </c>
      <c r="E54" s="242">
        <v>536155.01</v>
      </c>
      <c r="F54" s="242">
        <v>531625.67</v>
      </c>
      <c r="G54" s="242">
        <v>25114.18</v>
      </c>
      <c r="H54" s="242">
        <v>230067</v>
      </c>
      <c r="I54" s="242">
        <v>92843.54</v>
      </c>
      <c r="J54" s="99">
        <v>3291845</v>
      </c>
      <c r="K54" s="8"/>
      <c r="L54" s="8"/>
      <c r="N54" s="8"/>
      <c r="O54" s="8"/>
    </row>
    <row r="55" spans="2:15" ht="12.75">
      <c r="B55" s="67">
        <f>B54/J54</f>
        <v>0.2213173919185138</v>
      </c>
      <c r="C55" s="67">
        <f>C54/J54</f>
        <v>0.061970496788275264</v>
      </c>
      <c r="D55" s="67">
        <f>D54/J54</f>
        <v>0.2866174166766661</v>
      </c>
      <c r="E55" s="67">
        <f>E54/J54</f>
        <v>0.16287371063947423</v>
      </c>
      <c r="F55" s="67">
        <f>F54/J54</f>
        <v>0.16149778315807703</v>
      </c>
      <c r="G55" s="67">
        <f>G54/J54</f>
        <v>0.00762921097439278</v>
      </c>
      <c r="H55" s="67">
        <f>H54/J54</f>
        <v>0.06988998570710346</v>
      </c>
      <c r="I55" s="67">
        <f>I54/J54</f>
        <v>0.02820410438523077</v>
      </c>
      <c r="J55" s="68">
        <f>SUM(B55:I55)</f>
        <v>1.0000001002477334</v>
      </c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sheetProtection selectLockedCells="1"/>
  <mergeCells count="1">
    <mergeCell ref="B3:D3"/>
  </mergeCells>
  <conditionalFormatting sqref="B41:D42 P41:AC42 AM41:AR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B8:J9 AF8:AL38 B10:H40">
    <cfRule type="cellIs" priority="13" dxfId="5" operator="equal" stopIfTrue="1">
      <formula>0</formula>
    </cfRule>
    <cfRule type="cellIs" priority="14" dxfId="0" operator="between" stopIfTrue="1">
      <formula>0</formula>
      <formula>#REF!</formula>
    </cfRule>
    <cfRule type="cellIs" priority="15" dxfId="2" operator="greaterThanOrEqual" stopIfTrue="1">
      <formula>#REF!</formula>
    </cfRule>
  </conditionalFormatting>
  <conditionalFormatting sqref="N44 O43 AQ39 I10:I40 AM8:AQ10 AR8:AR9 K8:L40 O8:O40 N14:N16 N18:N40">
    <cfRule type="cellIs" priority="16" dxfId="2" operator="greaterThanOrEqual" stopIfTrue="1">
      <formula>#REF!</formula>
    </cfRule>
    <cfRule type="cellIs" priority="17" dxfId="1" operator="between" stopIfTrue="1">
      <formula>#REF!</formula>
      <formula>#REF!</formula>
    </cfRule>
    <cfRule type="cellIs" priority="18" dxfId="0" operator="between" stopIfTrue="1">
      <formula>#REF!</formula>
      <formula>0.1</formula>
    </cfRule>
  </conditionalFormatting>
  <printOptions/>
  <pageMargins left="0.2" right="0.25" top="0.28" bottom="0.24000000000000002" header="0.17" footer="0.17"/>
  <pageSetup horizontalDpi="600" verticalDpi="600" orientation="portrait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76"/>
  <sheetViews>
    <sheetView zoomScale="85" zoomScaleNormal="85" workbookViewId="0" topLeftCell="A1">
      <selection activeCell="Y5" sqref="Y5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130" width="9.140625" style="2" customWidth="1"/>
  </cols>
  <sheetData>
    <row r="1" spans="1:39" ht="12.75">
      <c r="A1" s="192" t="s">
        <v>117</v>
      </c>
      <c r="K1" s="8"/>
      <c r="L1" s="8"/>
      <c r="N1" s="8"/>
      <c r="P1" s="242">
        <v>3414164.27</v>
      </c>
      <c r="Q1" s="246">
        <v>828885.6</v>
      </c>
      <c r="R1" s="246">
        <v>3725356.94</v>
      </c>
      <c r="S1" s="246">
        <v>2027936.06</v>
      </c>
      <c r="T1" s="246">
        <v>2115759.09</v>
      </c>
      <c r="U1" s="242">
        <v>102521.47</v>
      </c>
      <c r="V1" s="247">
        <v>940008.58</v>
      </c>
      <c r="W1" s="247">
        <v>384579.03</v>
      </c>
      <c r="X1" s="99">
        <v>13485980.830000002</v>
      </c>
      <c r="AM1" s="8">
        <f>SUM(AE1:AL1)</f>
        <v>0</v>
      </c>
    </row>
    <row r="2" spans="11:43" ht="12.75">
      <c r="K2" s="8"/>
      <c r="L2" s="8"/>
      <c r="N2" s="8"/>
      <c r="P2" s="67">
        <f>P1/$X$1</f>
        <v>0.2531639569296347</v>
      </c>
      <c r="Q2" s="67">
        <f aca="true" t="shared" si="0" ref="Q2:W2">Q1/$X$1</f>
        <v>0.061462759768730876</v>
      </c>
      <c r="R2" s="67">
        <f t="shared" si="0"/>
        <v>0.27623922849666394</v>
      </c>
      <c r="S2" s="67">
        <f t="shared" si="0"/>
        <v>0.15037364249315782</v>
      </c>
      <c r="T2" s="67">
        <f t="shared" si="0"/>
        <v>0.1568858147338772</v>
      </c>
      <c r="U2" s="67">
        <f t="shared" si="0"/>
        <v>0.00760207739372858</v>
      </c>
      <c r="V2" s="67">
        <f t="shared" si="0"/>
        <v>0.06970264839090683</v>
      </c>
      <c r="W2" s="67">
        <f t="shared" si="0"/>
        <v>0.028516949182108543</v>
      </c>
      <c r="X2" s="68">
        <f>SUM(P2:W2)</f>
        <v>1.0039470773888084</v>
      </c>
      <c r="Y2" s="68"/>
      <c r="Z2" s="68"/>
      <c r="AA2" s="68"/>
      <c r="AB2" s="68"/>
      <c r="AM2" s="68"/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196">
        <v>3451000</v>
      </c>
      <c r="Y3" s="196">
        <f>(4161000*50%)+390000</f>
        <v>2470500</v>
      </c>
      <c r="Z3" s="196">
        <f>4161000*50%</f>
        <v>2080500</v>
      </c>
      <c r="AA3" s="196">
        <f>SUM(X3:Z3)</f>
        <v>8002000</v>
      </c>
      <c r="AB3" s="196">
        <f>12540000-4333000</f>
        <v>8207000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44" ht="12.75">
      <c r="A4" s="58" t="s">
        <v>161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41"/>
      <c r="Y4" s="41"/>
      <c r="Z4" s="41"/>
      <c r="AA4" s="41"/>
      <c r="AB4" s="41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</row>
    <row r="5" spans="1:44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22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22</v>
      </c>
      <c r="AN5" s="41"/>
      <c r="AO5" s="41"/>
      <c r="AP5" s="41"/>
      <c r="AQ5" s="41"/>
      <c r="AR5" s="70"/>
    </row>
    <row r="6" spans="1:44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</row>
    <row r="7" spans="1:44" ht="25.5">
      <c r="A7" s="221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204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204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204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</row>
    <row r="8" spans="1:44" s="60" customFormat="1" ht="12.75">
      <c r="A8" s="89">
        <f>'[5]MONTH4'!$A2</f>
        <v>39539</v>
      </c>
      <c r="B8" s="51">
        <f>'[5]MONTH4'!B2</f>
        <v>36348.91</v>
      </c>
      <c r="C8" s="51">
        <f>'[5]MONTH4'!C2</f>
        <v>7465.82</v>
      </c>
      <c r="D8" s="51">
        <f>'[5]MONTH4'!D2</f>
        <v>44124.65</v>
      </c>
      <c r="E8" s="51">
        <f>'[5]MONTH4'!E2</f>
        <v>19616.33</v>
      </c>
      <c r="F8" s="51">
        <f>'[5]MONTH4'!F2</f>
        <v>21454.39</v>
      </c>
      <c r="G8" s="51">
        <f>'[5]MONTH4'!G2</f>
        <v>895.84</v>
      </c>
      <c r="H8" s="51">
        <f>'[5]MONTH4'!H2</f>
        <v>11652.06</v>
      </c>
      <c r="I8" s="52">
        <f>'[6]MONTH4'!I2</f>
        <v>3613.39</v>
      </c>
      <c r="J8" s="78">
        <f>SUM(B8:I8)</f>
        <v>145171.39</v>
      </c>
      <c r="K8" s="52">
        <f>'[5]MONTH4'!J2</f>
        <v>69948.42000000009</v>
      </c>
      <c r="L8" s="52">
        <f>'[5]MONTH4'!K2</f>
        <v>100328</v>
      </c>
      <c r="M8" s="78">
        <f>SUM(J8:L8)</f>
        <v>315447.8100000001</v>
      </c>
      <c r="N8" s="96">
        <v>345220</v>
      </c>
      <c r="O8" s="64">
        <f>M8/N8</f>
        <v>0.9137587914952787</v>
      </c>
      <c r="P8" s="78">
        <f>$X$3/$X$5*($P$1/$X$1)</f>
        <v>39712.21888018952</v>
      </c>
      <c r="Q8" s="78">
        <f aca="true" t="shared" si="1" ref="Q8:Q17">$X$3/$X$5*($Q$1/$X$1)</f>
        <v>9641.271998267739</v>
      </c>
      <c r="R8" s="78">
        <f aca="true" t="shared" si="2" ref="R8:R17">$X$3/$X$5*($R$1/$X$1)</f>
        <v>43331.88988827215</v>
      </c>
      <c r="S8" s="78">
        <f aca="true" t="shared" si="3" ref="S8:S17">$X$3/$X$5*($S$1/$X$1)</f>
        <v>23588.156374722163</v>
      </c>
      <c r="T8" s="78">
        <f aca="true" t="shared" si="4" ref="T8:T17">$X$3/$X$5*($T$1/$X$1)</f>
        <v>24609.679393027734</v>
      </c>
      <c r="U8" s="78">
        <f aca="true" t="shared" si="5" ref="U8:U17">$X$3/$X$5*($U$1/$X$1)</f>
        <v>1192.4895038980603</v>
      </c>
      <c r="V8" s="78">
        <f aca="true" t="shared" si="6" ref="V8:V17">$X$3/$X$5*($V$1/$X$1)</f>
        <v>10933.810890773611</v>
      </c>
      <c r="W8" s="78">
        <f>$X$3/$X$5*($W$1/$X$1)</f>
        <v>4473.272346702572</v>
      </c>
      <c r="X8" s="78">
        <f>SUM(P8:W8)</f>
        <v>157482.78927585352</v>
      </c>
      <c r="Y8" s="78">
        <f>$Y$3/$X$5</f>
        <v>112295.45454545454</v>
      </c>
      <c r="Z8" s="78">
        <f aca="true" t="shared" si="7" ref="Z8:Z17">$Z$3/$X$5</f>
        <v>94568.18181818182</v>
      </c>
      <c r="AA8" s="78">
        <f>SUM(X8:Z8)</f>
        <v>364346.4256394899</v>
      </c>
      <c r="AB8" s="78">
        <f>$AB$3/$X$5</f>
        <v>373045.45454545453</v>
      </c>
      <c r="AC8" s="76">
        <f>AA8/AB8</f>
        <v>0.9766810483817202</v>
      </c>
      <c r="AD8" s="77"/>
      <c r="AE8" s="51">
        <f>B8-P8</f>
        <v>-3363.3088801895137</v>
      </c>
      <c r="AF8" s="51">
        <f aca="true" t="shared" si="8" ref="AF8:AQ8">C8-Q8</f>
        <v>-2175.4519982677393</v>
      </c>
      <c r="AG8" s="51">
        <f t="shared" si="8"/>
        <v>792.7601117278537</v>
      </c>
      <c r="AH8" s="51">
        <f t="shared" si="8"/>
        <v>-3971.826374722161</v>
      </c>
      <c r="AI8" s="51">
        <f t="shared" si="8"/>
        <v>-3155.289393027735</v>
      </c>
      <c r="AJ8" s="51">
        <f t="shared" si="8"/>
        <v>-296.6495038980603</v>
      </c>
      <c r="AK8" s="51">
        <f t="shared" si="8"/>
        <v>718.2491092263881</v>
      </c>
      <c r="AL8" s="51">
        <f t="shared" si="8"/>
        <v>-859.8823467025718</v>
      </c>
      <c r="AM8" s="51">
        <f t="shared" si="8"/>
        <v>-12311.399275853502</v>
      </c>
      <c r="AN8" s="51">
        <f t="shared" si="8"/>
        <v>-42347.03454545446</v>
      </c>
      <c r="AO8" s="51">
        <f t="shared" si="8"/>
        <v>5759.8181818181765</v>
      </c>
      <c r="AP8" s="51">
        <f t="shared" si="8"/>
        <v>-48898.615639489784</v>
      </c>
      <c r="AQ8" s="51">
        <f t="shared" si="8"/>
        <v>-27825.45454545453</v>
      </c>
      <c r="AR8" s="96"/>
    </row>
    <row r="9" spans="1:44" s="60" customFormat="1" ht="12.75">
      <c r="A9" s="89">
        <f>'[5]MONTH4'!$A3</f>
        <v>39540</v>
      </c>
      <c r="B9" s="51">
        <f>'[5]MONTH4'!B3</f>
        <v>30151.8</v>
      </c>
      <c r="C9" s="51">
        <f>'[5]MONTH4'!C3</f>
        <v>6900.09</v>
      </c>
      <c r="D9" s="51">
        <f>'[5]MONTH4'!D3</f>
        <v>35008.18</v>
      </c>
      <c r="E9" s="51">
        <f>'[5]MONTH4'!E3</f>
        <v>19723.22</v>
      </c>
      <c r="F9" s="51">
        <f>'[5]MONTH4'!F3</f>
        <v>23019.72</v>
      </c>
      <c r="G9" s="51">
        <f>'[5]MONTH4'!G3</f>
        <v>977.52</v>
      </c>
      <c r="H9" s="51">
        <f>'[5]MONTH4'!H3</f>
        <v>8113.12</v>
      </c>
      <c r="I9" s="52">
        <f>'[6]MONTH4'!I3</f>
        <v>2732.1</v>
      </c>
      <c r="J9" s="78">
        <f>SUM(B9:I9)</f>
        <v>126625.75000000001</v>
      </c>
      <c r="K9" s="52">
        <f>'[5]MONTH4'!J3</f>
        <v>63740.11000000006</v>
      </c>
      <c r="L9" s="52">
        <f>'[5]MONTH4'!K3</f>
        <v>108083</v>
      </c>
      <c r="M9" s="78">
        <f>SUM(J9:L9)</f>
        <v>298448.8600000001</v>
      </c>
      <c r="N9" s="96">
        <v>241410</v>
      </c>
      <c r="O9" s="64">
        <f>M9/N9</f>
        <v>1.2362738080444062</v>
      </c>
      <c r="P9" s="78">
        <f>$X$3/$X$5*($P$1/$X$1)</f>
        <v>39712.21888018952</v>
      </c>
      <c r="Q9" s="78">
        <f t="shared" si="1"/>
        <v>9641.271998267739</v>
      </c>
      <c r="R9" s="78">
        <f t="shared" si="2"/>
        <v>43331.88988827215</v>
      </c>
      <c r="S9" s="78">
        <f t="shared" si="3"/>
        <v>23588.156374722163</v>
      </c>
      <c r="T9" s="78">
        <f t="shared" si="4"/>
        <v>24609.679393027734</v>
      </c>
      <c r="U9" s="78">
        <f t="shared" si="5"/>
        <v>1192.4895038980603</v>
      </c>
      <c r="V9" s="78">
        <f t="shared" si="6"/>
        <v>10933.810890773611</v>
      </c>
      <c r="W9" s="78">
        <f>$X$3/$X$5*($W$1/$X$1)</f>
        <v>4473.272346702572</v>
      </c>
      <c r="X9" s="78">
        <f>SUM(P9:W9)</f>
        <v>157482.78927585352</v>
      </c>
      <c r="Y9" s="78">
        <f>$Y$3/$X$5</f>
        <v>112295.45454545454</v>
      </c>
      <c r="Z9" s="78">
        <f t="shared" si="7"/>
        <v>94568.18181818182</v>
      </c>
      <c r="AA9" s="78">
        <f>SUM(X9:Z9)</f>
        <v>364346.4256394899</v>
      </c>
      <c r="AB9" s="78">
        <f>$AB$3/$X$5</f>
        <v>373045.45454545453</v>
      </c>
      <c r="AC9" s="76">
        <f>AA9/AB9</f>
        <v>0.9766810483817202</v>
      </c>
      <c r="AD9" s="77"/>
      <c r="AE9" s="78">
        <f aca="true" t="shared" si="9" ref="AE9:AE37">B9-P9</f>
        <v>-9560.418880189518</v>
      </c>
      <c r="AF9" s="51">
        <f>C9-Q9</f>
        <v>-2741.181998267739</v>
      </c>
      <c r="AG9" s="51">
        <f aca="true" t="shared" si="10" ref="AG9:AL23">D9-R9</f>
        <v>-8323.709888272148</v>
      </c>
      <c r="AH9" s="51">
        <f t="shared" si="10"/>
        <v>-3864.9363747221614</v>
      </c>
      <c r="AI9" s="51">
        <f t="shared" si="10"/>
        <v>-1589.9593930277333</v>
      </c>
      <c r="AJ9" s="51">
        <f t="shared" si="10"/>
        <v>-214.96950389806034</v>
      </c>
      <c r="AK9" s="51">
        <f t="shared" si="10"/>
        <v>-2820.6908907736115</v>
      </c>
      <c r="AL9" s="51">
        <f t="shared" si="10"/>
        <v>-1741.1723467025718</v>
      </c>
      <c r="AM9" s="96">
        <f aca="true" t="shared" si="11" ref="AM9:AM22">SUM(AE9:AL9)</f>
        <v>-30857.03927585354</v>
      </c>
      <c r="AN9" s="96">
        <f aca="true" t="shared" si="12" ref="AN9:AO37">K9-Y9</f>
        <v>-48555.344545454485</v>
      </c>
      <c r="AO9" s="96">
        <f t="shared" si="12"/>
        <v>13514.818181818177</v>
      </c>
      <c r="AP9" s="96">
        <f aca="true" t="shared" si="13" ref="AP9:AP37">SUM(AM9:AO9)</f>
        <v>-65897.56563948985</v>
      </c>
      <c r="AQ9" s="96">
        <f aca="true" t="shared" si="14" ref="AQ9:AQ37">N9-AB9</f>
        <v>-131635.45454545453</v>
      </c>
      <c r="AR9" s="78"/>
    </row>
    <row r="10" spans="1:44" s="60" customFormat="1" ht="12.75">
      <c r="A10" s="89">
        <f>'[5]MONTH4'!$A4</f>
        <v>39541</v>
      </c>
      <c r="B10" s="51">
        <f>'[5]MONTH4'!B4</f>
        <v>36542.92</v>
      </c>
      <c r="C10" s="51">
        <f>'[5]MONTH4'!C4</f>
        <v>6168.01</v>
      </c>
      <c r="D10" s="51">
        <f>'[5]MONTH4'!D4</f>
        <v>43514.97</v>
      </c>
      <c r="E10" s="51">
        <f>'[5]MONTH4'!E4</f>
        <v>22231</v>
      </c>
      <c r="F10" s="51">
        <f>'[5]MONTH4'!F4</f>
        <v>24202.22</v>
      </c>
      <c r="G10" s="51">
        <f>'[5]MONTH4'!G4</f>
        <v>1253.62</v>
      </c>
      <c r="H10" s="51">
        <f>'[5]MONTH4'!H4</f>
        <v>10712.12</v>
      </c>
      <c r="I10" s="52">
        <f>'[6]MONTH4'!I4</f>
        <v>3060.59</v>
      </c>
      <c r="J10" s="78">
        <f aca="true" t="shared" si="15" ref="J10:J37">SUM(B10:I10)</f>
        <v>147685.44999999998</v>
      </c>
      <c r="K10" s="52">
        <f>'[5]MONTH4'!J4</f>
        <v>63335.07999999995</v>
      </c>
      <c r="L10" s="52">
        <f>'[5]MONTH4'!K4</f>
        <v>112907</v>
      </c>
      <c r="M10" s="78">
        <f aca="true" t="shared" si="16" ref="M10:M37">SUM(J10:L10)</f>
        <v>323927.5299999999</v>
      </c>
      <c r="N10" s="96">
        <v>257064</v>
      </c>
      <c r="O10" s="64">
        <f aca="true" t="shared" si="17" ref="O10:O37">M10/N10</f>
        <v>1.2601046043008741</v>
      </c>
      <c r="P10" s="78">
        <f>$X$3/$X$5*($P$1/$X$1)</f>
        <v>39712.21888018952</v>
      </c>
      <c r="Q10" s="78">
        <f t="shared" si="1"/>
        <v>9641.271998267739</v>
      </c>
      <c r="R10" s="78">
        <f t="shared" si="2"/>
        <v>43331.88988827215</v>
      </c>
      <c r="S10" s="78">
        <f t="shared" si="3"/>
        <v>23588.156374722163</v>
      </c>
      <c r="T10" s="78">
        <f t="shared" si="4"/>
        <v>24609.679393027734</v>
      </c>
      <c r="U10" s="78">
        <f t="shared" si="5"/>
        <v>1192.4895038980603</v>
      </c>
      <c r="V10" s="78">
        <f t="shared" si="6"/>
        <v>10933.810890773611</v>
      </c>
      <c r="W10" s="78">
        <f>$X$3/$X$5*($W$1/$X$1)</f>
        <v>4473.272346702572</v>
      </c>
      <c r="X10" s="78">
        <f>SUM(P10:W10)</f>
        <v>157482.78927585352</v>
      </c>
      <c r="Y10" s="78">
        <f>$Y$3/$X$5</f>
        <v>112295.45454545454</v>
      </c>
      <c r="Z10" s="78">
        <f t="shared" si="7"/>
        <v>94568.18181818182</v>
      </c>
      <c r="AA10" s="78">
        <f>SUM(X10:Z10)</f>
        <v>364346.4256394899</v>
      </c>
      <c r="AB10" s="78">
        <f>$AB$3/$X$5</f>
        <v>373045.45454545453</v>
      </c>
      <c r="AC10" s="76">
        <f>AA10/AB10</f>
        <v>0.9766810483817202</v>
      </c>
      <c r="AD10" s="77"/>
      <c r="AE10" s="78">
        <f>B10-P10</f>
        <v>-3169.298880189519</v>
      </c>
      <c r="AF10" s="51">
        <f aca="true" t="shared" si="18" ref="AF10:AL10">C10-Q8</f>
        <v>-3473.261998267739</v>
      </c>
      <c r="AG10" s="51">
        <f t="shared" si="18"/>
        <v>183.08011172785336</v>
      </c>
      <c r="AH10" s="51">
        <f t="shared" si="18"/>
        <v>-1357.1563747221626</v>
      </c>
      <c r="AI10" s="51">
        <f t="shared" si="18"/>
        <v>-407.4593930277333</v>
      </c>
      <c r="AJ10" s="51">
        <f t="shared" si="18"/>
        <v>61.13049610193957</v>
      </c>
      <c r="AK10" s="51">
        <f t="shared" si="18"/>
        <v>-221.6908907736106</v>
      </c>
      <c r="AL10" s="51">
        <f t="shared" si="18"/>
        <v>-1412.6823467025715</v>
      </c>
      <c r="AM10" s="96">
        <f t="shared" si="11"/>
        <v>-9797.339275853543</v>
      </c>
      <c r="AN10" s="96">
        <f>K10-Y8</f>
        <v>-48960.37454545459</v>
      </c>
      <c r="AO10" s="96">
        <f>L10-Z8</f>
        <v>18338.818181818177</v>
      </c>
      <c r="AP10" s="96">
        <f t="shared" si="13"/>
        <v>-40418.89563948996</v>
      </c>
      <c r="AQ10" s="96">
        <f>N10-AB8</f>
        <v>-115981.45454545453</v>
      </c>
      <c r="AR10" s="78"/>
    </row>
    <row r="11" spans="1:44" s="60" customFormat="1" ht="12.75">
      <c r="A11" s="89">
        <f>'[5]MONTH4'!$A5</f>
        <v>39542</v>
      </c>
      <c r="B11" s="51">
        <f>'[5]MONTH4'!B5</f>
        <v>35090.9</v>
      </c>
      <c r="C11" s="51">
        <f>'[5]MONTH4'!C5</f>
        <v>6156.88</v>
      </c>
      <c r="D11" s="51">
        <f>'[5]MONTH4'!D5</f>
        <v>34574.5</v>
      </c>
      <c r="E11" s="51">
        <f>'[5]MONTH4'!E5</f>
        <v>18761.33</v>
      </c>
      <c r="F11" s="51">
        <f>'[5]MONTH4'!F5</f>
        <v>23698.71</v>
      </c>
      <c r="G11" s="51">
        <f>'[5]MONTH4'!G5</f>
        <v>1498.64</v>
      </c>
      <c r="H11" s="51">
        <f>'[5]MONTH4'!H5</f>
        <v>11549.17</v>
      </c>
      <c r="I11" s="52">
        <f>'[6]MONTH4'!I5</f>
        <v>3196.84</v>
      </c>
      <c r="J11" s="78">
        <f t="shared" si="15"/>
        <v>134526.97</v>
      </c>
      <c r="K11" s="52">
        <f>'[5]MONTH4'!J5</f>
        <v>61879.40999999997</v>
      </c>
      <c r="L11" s="52">
        <f>'[5]MONTH4'!K5</f>
        <v>76565</v>
      </c>
      <c r="M11" s="78">
        <f t="shared" si="16"/>
        <v>272971.38</v>
      </c>
      <c r="N11" s="96">
        <v>276678</v>
      </c>
      <c r="O11" s="64">
        <f t="shared" si="17"/>
        <v>0.9866031271008175</v>
      </c>
      <c r="P11" s="78">
        <f>$X$3/$X$5*($P$1/$X$1)</f>
        <v>39712.21888018952</v>
      </c>
      <c r="Q11" s="78">
        <f t="shared" si="1"/>
        <v>9641.271998267739</v>
      </c>
      <c r="R11" s="78">
        <f t="shared" si="2"/>
        <v>43331.88988827215</v>
      </c>
      <c r="S11" s="78">
        <f t="shared" si="3"/>
        <v>23588.156374722163</v>
      </c>
      <c r="T11" s="78">
        <f t="shared" si="4"/>
        <v>24609.679393027734</v>
      </c>
      <c r="U11" s="78">
        <f t="shared" si="5"/>
        <v>1192.4895038980603</v>
      </c>
      <c r="V11" s="78">
        <f t="shared" si="6"/>
        <v>10933.810890773611</v>
      </c>
      <c r="W11" s="78">
        <f>$X$3/$X$5*($W$1/$X$1)</f>
        <v>4473.272346702572</v>
      </c>
      <c r="X11" s="78">
        <f>SUM(P11:W11)</f>
        <v>157482.78927585352</v>
      </c>
      <c r="Y11" s="78">
        <f aca="true" t="shared" si="19" ref="Y11:Y17">$Y$3/$X$5</f>
        <v>112295.45454545454</v>
      </c>
      <c r="Z11" s="78">
        <f t="shared" si="7"/>
        <v>94568.18181818182</v>
      </c>
      <c r="AA11" s="78">
        <f>SUM(X11:Z11)</f>
        <v>364346.4256394899</v>
      </c>
      <c r="AB11" s="78">
        <f aca="true" t="shared" si="20" ref="AB11:AB17">$AB$3/$X$5</f>
        <v>373045.45454545453</v>
      </c>
      <c r="AC11" s="76">
        <f aca="true" t="shared" si="21" ref="AC11:AC17">AA11/AB11</f>
        <v>0.9766810483817202</v>
      </c>
      <c r="AD11" s="77"/>
      <c r="AE11" s="78">
        <f t="shared" si="9"/>
        <v>-4621.318880189516</v>
      </c>
      <c r="AF11" s="51">
        <f>C11-Q11</f>
        <v>-3484.391998267739</v>
      </c>
      <c r="AG11" s="51">
        <f t="shared" si="10"/>
        <v>-8757.389888272148</v>
      </c>
      <c r="AH11" s="51">
        <f t="shared" si="10"/>
        <v>-4826.826374722161</v>
      </c>
      <c r="AI11" s="51">
        <f t="shared" si="10"/>
        <v>-910.9693930277354</v>
      </c>
      <c r="AJ11" s="51">
        <f t="shared" si="10"/>
        <v>306.1504961019398</v>
      </c>
      <c r="AK11" s="51">
        <f t="shared" si="10"/>
        <v>615.3591092263887</v>
      </c>
      <c r="AL11" s="51">
        <f t="shared" si="10"/>
        <v>-1276.4323467025715</v>
      </c>
      <c r="AM11" s="78">
        <f t="shared" si="11"/>
        <v>-22955.819275853544</v>
      </c>
      <c r="AN11" s="78">
        <f t="shared" si="12"/>
        <v>-50416.04454545458</v>
      </c>
      <c r="AO11" s="78">
        <f t="shared" si="12"/>
        <v>-18003.181818181823</v>
      </c>
      <c r="AP11" s="78">
        <f t="shared" si="13"/>
        <v>-91375.04563948995</v>
      </c>
      <c r="AQ11" s="78">
        <f t="shared" si="14"/>
        <v>-96367.45454545453</v>
      </c>
      <c r="AR11" s="78">
        <f>AP11/AQ11</f>
        <v>0.9481940357404609</v>
      </c>
    </row>
    <row r="12" spans="1:44" s="206" customFormat="1" ht="12.75">
      <c r="A12" s="199">
        <f>'[5]MONTH4'!$A6</f>
        <v>39543</v>
      </c>
      <c r="B12" s="200">
        <f>'[5]MONTH4'!B6</f>
        <v>15546.2</v>
      </c>
      <c r="C12" s="200">
        <f>'[5]MONTH4'!C6</f>
        <v>10261.38</v>
      </c>
      <c r="D12" s="200">
        <f>'[5]MONTH4'!D6</f>
        <v>16587.71</v>
      </c>
      <c r="E12" s="200">
        <f>'[5]MONTH4'!E6</f>
        <v>6773.8</v>
      </c>
      <c r="F12" s="200">
        <f>'[5]MONTH4'!F6</f>
        <v>15229.12</v>
      </c>
      <c r="G12" s="200">
        <f>'[5]MONTH4'!G6</f>
        <v>233.83</v>
      </c>
      <c r="H12" s="200">
        <f>'[5]MONTH4'!H6</f>
        <v>3274.63</v>
      </c>
      <c r="I12" s="201">
        <f>'[6]MONTH4'!I6</f>
        <v>753.12</v>
      </c>
      <c r="J12" s="202">
        <f>SUM(B12:I12)</f>
        <v>68659.79000000001</v>
      </c>
      <c r="K12" s="201">
        <f>'[5]MONTH4'!J6</f>
        <v>40906.399999999994</v>
      </c>
      <c r="L12" s="201">
        <f>'[5]MONTH4'!K6</f>
        <v>41218</v>
      </c>
      <c r="M12" s="202">
        <f>SUM(J12:L12)</f>
        <v>150784.19</v>
      </c>
      <c r="N12" s="202">
        <f>SUM(K12:M12)</f>
        <v>232908.59</v>
      </c>
      <c r="O12" s="203">
        <f t="shared" si="17"/>
        <v>0.6473964313639098</v>
      </c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4"/>
      <c r="AD12" s="205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 t="e">
        <f>AP12/AQ12</f>
        <v>#DIV/0!</v>
      </c>
    </row>
    <row r="13" spans="1:44" s="206" customFormat="1" ht="12.75">
      <c r="A13" s="199">
        <f>'[5]MONTH4'!$A7</f>
        <v>39544</v>
      </c>
      <c r="B13" s="200">
        <f>'[5]MONTH4'!B7</f>
        <v>9539.67</v>
      </c>
      <c r="C13" s="200">
        <f>'[5]MONTH4'!C7</f>
        <v>7266.16</v>
      </c>
      <c r="D13" s="200">
        <f>'[5]MONTH4'!D7</f>
        <v>5099.73</v>
      </c>
      <c r="E13" s="200">
        <f>'[5]MONTH4'!E7</f>
        <v>2070.32</v>
      </c>
      <c r="F13" s="200">
        <f>'[5]MONTH4'!F7</f>
        <v>9111.6</v>
      </c>
      <c r="G13" s="200">
        <f>'[5]MONTH4'!G7</f>
        <v>225.36</v>
      </c>
      <c r="H13" s="200">
        <f>'[5]MONTH4'!H7</f>
        <v>176.21</v>
      </c>
      <c r="I13" s="201">
        <f>'[6]MONTH4'!I7</f>
        <v>264.38</v>
      </c>
      <c r="J13" s="202">
        <f>SUM(B13:I13)</f>
        <v>33753.43</v>
      </c>
      <c r="K13" s="201">
        <f>'[5]MONTH4'!J7</f>
        <v>27845.759999999987</v>
      </c>
      <c r="L13" s="201">
        <f>'[5]MONTH4'!K7</f>
        <v>0</v>
      </c>
      <c r="M13" s="202">
        <f>SUM(J13:L13)</f>
        <v>61599.18999999999</v>
      </c>
      <c r="N13" s="202">
        <f>SUM(K13:M13)</f>
        <v>89444.94999999998</v>
      </c>
      <c r="O13" s="203">
        <f t="shared" si="17"/>
        <v>0.6886827037188796</v>
      </c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4"/>
      <c r="AD13" s="205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 t="e">
        <f>AP13/AQ13</f>
        <v>#DIV/0!</v>
      </c>
    </row>
    <row r="14" spans="1:44" s="60" customFormat="1" ht="12.75">
      <c r="A14" s="89">
        <f>'[5]MONTH4'!$A8</f>
        <v>39545</v>
      </c>
      <c r="B14" s="51">
        <f>'[5]MONTH4'!B8</f>
        <v>33798.86</v>
      </c>
      <c r="C14" s="51">
        <f>'[5]MONTH4'!C8</f>
        <v>6800.24</v>
      </c>
      <c r="D14" s="51">
        <f>'[5]MONTH4'!D8</f>
        <v>39916.18</v>
      </c>
      <c r="E14" s="51">
        <f>'[5]MONTH4'!E8</f>
        <v>24031.95</v>
      </c>
      <c r="F14" s="51">
        <f>'[5]MONTH4'!F8</f>
        <v>23364.33</v>
      </c>
      <c r="G14" s="51">
        <f>'[5]MONTH4'!G8</f>
        <v>1772.03</v>
      </c>
      <c r="H14" s="51">
        <f>'[5]MONTH4'!H8</f>
        <v>9933.95</v>
      </c>
      <c r="I14" s="52">
        <f>'[6]MONTH4'!I8</f>
        <v>3637.43</v>
      </c>
      <c r="J14" s="78">
        <f t="shared" si="15"/>
        <v>143254.97</v>
      </c>
      <c r="K14" s="52">
        <f>'[5]MONTH4'!J8</f>
        <v>61099.96000000002</v>
      </c>
      <c r="L14" s="52">
        <f>'[5]MONTH4'!K8</f>
        <v>114699</v>
      </c>
      <c r="M14" s="78">
        <f t="shared" si="16"/>
        <v>319053.93000000005</v>
      </c>
      <c r="N14" s="96">
        <v>373993</v>
      </c>
      <c r="O14" s="64">
        <f t="shared" si="17"/>
        <v>0.8531013414689581</v>
      </c>
      <c r="P14" s="78">
        <f>$X$3/$X$5*($P$1/$X$1)</f>
        <v>39712.21888018952</v>
      </c>
      <c r="Q14" s="78">
        <f t="shared" si="1"/>
        <v>9641.271998267739</v>
      </c>
      <c r="R14" s="78">
        <f t="shared" si="2"/>
        <v>43331.88988827215</v>
      </c>
      <c r="S14" s="78">
        <f t="shared" si="3"/>
        <v>23588.156374722163</v>
      </c>
      <c r="T14" s="78">
        <f t="shared" si="4"/>
        <v>24609.679393027734</v>
      </c>
      <c r="U14" s="78">
        <f t="shared" si="5"/>
        <v>1192.4895038980603</v>
      </c>
      <c r="V14" s="78">
        <f t="shared" si="6"/>
        <v>10933.810890773611</v>
      </c>
      <c r="W14" s="78">
        <f>$X$3/$X$5*($W$1/$X$1)</f>
        <v>4473.272346702572</v>
      </c>
      <c r="X14" s="78">
        <f>SUM(P14:W14)</f>
        <v>157482.78927585352</v>
      </c>
      <c r="Y14" s="78">
        <f t="shared" si="19"/>
        <v>112295.45454545454</v>
      </c>
      <c r="Z14" s="78">
        <f t="shared" si="7"/>
        <v>94568.18181818182</v>
      </c>
      <c r="AA14" s="78">
        <f>SUM(X14:Z14)</f>
        <v>364346.4256394899</v>
      </c>
      <c r="AB14" s="78">
        <f t="shared" si="20"/>
        <v>373045.45454545453</v>
      </c>
      <c r="AC14" s="76">
        <f t="shared" si="21"/>
        <v>0.9766810483817202</v>
      </c>
      <c r="AD14" s="77"/>
      <c r="AE14" s="78">
        <f t="shared" si="9"/>
        <v>-5913.358880189517</v>
      </c>
      <c r="AF14" s="51">
        <f>C14-Q14</f>
        <v>-2841.0319982677393</v>
      </c>
      <c r="AG14" s="51">
        <f t="shared" si="10"/>
        <v>-3415.7098882721475</v>
      </c>
      <c r="AH14" s="51">
        <f t="shared" si="10"/>
        <v>443.79362527783815</v>
      </c>
      <c r="AI14" s="51">
        <f t="shared" si="10"/>
        <v>-1245.3493930277327</v>
      </c>
      <c r="AJ14" s="51">
        <f t="shared" si="10"/>
        <v>579.5404961019397</v>
      </c>
      <c r="AK14" s="51">
        <f t="shared" si="10"/>
        <v>-999.8608907736107</v>
      </c>
      <c r="AL14" s="51">
        <f t="shared" si="10"/>
        <v>-835.8423467025718</v>
      </c>
      <c r="AM14" s="78">
        <f t="shared" si="11"/>
        <v>-14227.81927585354</v>
      </c>
      <c r="AN14" s="78">
        <f t="shared" si="12"/>
        <v>-51195.49454545452</v>
      </c>
      <c r="AO14" s="78">
        <f t="shared" si="12"/>
        <v>20130.818181818177</v>
      </c>
      <c r="AP14" s="78">
        <f t="shared" si="13"/>
        <v>-45292.49563948989</v>
      </c>
      <c r="AQ14" s="78">
        <f t="shared" si="14"/>
        <v>947.5454545454704</v>
      </c>
      <c r="AR14" s="78">
        <f>AP14/AQ14</f>
        <v>-47.799813108930294</v>
      </c>
    </row>
    <row r="15" spans="1:44" s="60" customFormat="1" ht="12.75">
      <c r="A15" s="89">
        <f>'[5]MONTH4'!$A9</f>
        <v>39546</v>
      </c>
      <c r="B15" s="51">
        <f>'[5]MONTH4'!B9</f>
        <v>35439.19</v>
      </c>
      <c r="C15" s="51">
        <f>'[5]MONTH4'!C9</f>
        <v>9129.73</v>
      </c>
      <c r="D15" s="51">
        <f>'[5]MONTH4'!D9</f>
        <v>38136</v>
      </c>
      <c r="E15" s="51">
        <f>'[5]MONTH4'!E9</f>
        <v>20028.06</v>
      </c>
      <c r="F15" s="51">
        <f>'[5]MONTH4'!F9</f>
        <v>22436.01</v>
      </c>
      <c r="G15" s="51">
        <f>'[5]MONTH4'!G9</f>
        <v>1346.61</v>
      </c>
      <c r="H15" s="51">
        <f>'[5]MONTH4'!H9</f>
        <v>12701.99</v>
      </c>
      <c r="I15" s="52">
        <f>'[6]MONTH4'!I9</f>
        <v>4574.87</v>
      </c>
      <c r="J15" s="78">
        <f t="shared" si="15"/>
        <v>143792.46</v>
      </c>
      <c r="K15" s="52">
        <f>'[5]MONTH4'!J9</f>
        <v>93236.53999999998</v>
      </c>
      <c r="L15" s="52">
        <f>'[5]MONTH4'!K9</f>
        <v>119869</v>
      </c>
      <c r="M15" s="78">
        <f t="shared" si="16"/>
        <v>356898</v>
      </c>
      <c r="N15" s="96">
        <v>241546</v>
      </c>
      <c r="O15" s="64">
        <f t="shared" si="17"/>
        <v>1.4775570698748892</v>
      </c>
      <c r="P15" s="78">
        <f>$X$3/$X$5*($P$1/$X$1)</f>
        <v>39712.21888018952</v>
      </c>
      <c r="Q15" s="78">
        <f t="shared" si="1"/>
        <v>9641.271998267739</v>
      </c>
      <c r="R15" s="78">
        <f t="shared" si="2"/>
        <v>43331.88988827215</v>
      </c>
      <c r="S15" s="78">
        <f t="shared" si="3"/>
        <v>23588.156374722163</v>
      </c>
      <c r="T15" s="78">
        <f t="shared" si="4"/>
        <v>24609.679393027734</v>
      </c>
      <c r="U15" s="78">
        <f t="shared" si="5"/>
        <v>1192.4895038980603</v>
      </c>
      <c r="V15" s="78">
        <f t="shared" si="6"/>
        <v>10933.810890773611</v>
      </c>
      <c r="W15" s="78">
        <f>$X$3/$X$5*($W$1/$X$1)</f>
        <v>4473.272346702572</v>
      </c>
      <c r="X15" s="78">
        <f>SUM(P15:W15)</f>
        <v>157482.78927585352</v>
      </c>
      <c r="Y15" s="78">
        <f t="shared" si="19"/>
        <v>112295.45454545454</v>
      </c>
      <c r="Z15" s="78">
        <f t="shared" si="7"/>
        <v>94568.18181818182</v>
      </c>
      <c r="AA15" s="78">
        <f>SUM(X15:Z15)</f>
        <v>364346.4256394899</v>
      </c>
      <c r="AB15" s="78">
        <f t="shared" si="20"/>
        <v>373045.45454545453</v>
      </c>
      <c r="AC15" s="76">
        <f t="shared" si="21"/>
        <v>0.9766810483817202</v>
      </c>
      <c r="AD15" s="77"/>
      <c r="AE15" s="78">
        <f t="shared" si="9"/>
        <v>-4273.028880189515</v>
      </c>
      <c r="AF15" s="51">
        <f>C15-Q15</f>
        <v>-511.5419982677395</v>
      </c>
      <c r="AG15" s="51">
        <f t="shared" si="10"/>
        <v>-5195.889888272148</v>
      </c>
      <c r="AH15" s="51">
        <f t="shared" si="10"/>
        <v>-3560.0963747221613</v>
      </c>
      <c r="AI15" s="51">
        <f t="shared" si="10"/>
        <v>-2173.669393027736</v>
      </c>
      <c r="AJ15" s="51">
        <f t="shared" si="10"/>
        <v>154.12049610193958</v>
      </c>
      <c r="AK15" s="51">
        <f t="shared" si="10"/>
        <v>1768.1791092263884</v>
      </c>
      <c r="AL15" s="51">
        <f t="shared" si="10"/>
        <v>101.59765329742822</v>
      </c>
      <c r="AM15" s="78">
        <f t="shared" si="11"/>
        <v>-13690.329275853543</v>
      </c>
      <c r="AN15" s="78">
        <f t="shared" si="12"/>
        <v>-19058.914545454565</v>
      </c>
      <c r="AO15" s="78">
        <f t="shared" si="12"/>
        <v>25300.818181818177</v>
      </c>
      <c r="AP15" s="78">
        <f t="shared" si="13"/>
        <v>-7448.425639489931</v>
      </c>
      <c r="AQ15" s="78">
        <f t="shared" si="14"/>
        <v>-131499.45454545453</v>
      </c>
      <c r="AR15" s="78">
        <f>AP15/AQ15</f>
        <v>0.056642255021029646</v>
      </c>
    </row>
    <row r="16" spans="1:44" s="60" customFormat="1" ht="12.75">
      <c r="A16" s="89">
        <f>'[5]MONTH4'!$A10</f>
        <v>39547</v>
      </c>
      <c r="B16" s="51">
        <f>'[5]MONTH4'!B10</f>
        <v>34980.68</v>
      </c>
      <c r="C16" s="51">
        <f>'[5]MONTH4'!C10</f>
        <v>3394.58</v>
      </c>
      <c r="D16" s="51">
        <f>'[5]MONTH4'!D10</f>
        <v>35986.44</v>
      </c>
      <c r="E16" s="51">
        <f>'[5]MONTH4'!E10</f>
        <v>24776</v>
      </c>
      <c r="F16" s="51">
        <f>'[5]MONTH4'!F10</f>
        <v>21704.16</v>
      </c>
      <c r="G16" s="51">
        <f>'[5]MONTH4'!G10</f>
        <v>907.12</v>
      </c>
      <c r="H16" s="51">
        <f>'[5]MONTH4'!H10</f>
        <v>11549.25</v>
      </c>
      <c r="I16" s="52">
        <f>'[6]MONTH4'!I10</f>
        <v>3949.96</v>
      </c>
      <c r="J16" s="78">
        <f t="shared" si="15"/>
        <v>137248.19</v>
      </c>
      <c r="K16" s="52">
        <f>'[5]MONTH4'!J10</f>
        <v>71359.93999999996</v>
      </c>
      <c r="L16" s="52">
        <f>'[5]MONTH4'!K10</f>
        <v>105218</v>
      </c>
      <c r="M16" s="78">
        <f t="shared" si="16"/>
        <v>313826.12999999995</v>
      </c>
      <c r="N16" s="96">
        <v>262095</v>
      </c>
      <c r="O16" s="64">
        <f t="shared" si="17"/>
        <v>1.1973754936187258</v>
      </c>
      <c r="P16" s="78">
        <f>$X$3/$X$5*($P$1/$X$1)</f>
        <v>39712.21888018952</v>
      </c>
      <c r="Q16" s="78">
        <f t="shared" si="1"/>
        <v>9641.271998267739</v>
      </c>
      <c r="R16" s="78">
        <f t="shared" si="2"/>
        <v>43331.88988827215</v>
      </c>
      <c r="S16" s="78">
        <f t="shared" si="3"/>
        <v>23588.156374722163</v>
      </c>
      <c r="T16" s="78">
        <f t="shared" si="4"/>
        <v>24609.679393027734</v>
      </c>
      <c r="U16" s="78">
        <f t="shared" si="5"/>
        <v>1192.4895038980603</v>
      </c>
      <c r="V16" s="78">
        <f t="shared" si="6"/>
        <v>10933.810890773611</v>
      </c>
      <c r="W16" s="78">
        <f>$X$3/$X$5*($W$1/$X$1)</f>
        <v>4473.272346702572</v>
      </c>
      <c r="X16" s="78">
        <f>SUM(P16:W16)</f>
        <v>157482.78927585352</v>
      </c>
      <c r="Y16" s="78">
        <f t="shared" si="19"/>
        <v>112295.45454545454</v>
      </c>
      <c r="Z16" s="78">
        <f t="shared" si="7"/>
        <v>94568.18181818182</v>
      </c>
      <c r="AA16" s="78">
        <f>SUM(X16:Z16)</f>
        <v>364346.4256394899</v>
      </c>
      <c r="AB16" s="78">
        <f t="shared" si="20"/>
        <v>373045.45454545453</v>
      </c>
      <c r="AC16" s="76">
        <f t="shared" si="21"/>
        <v>0.9766810483817202</v>
      </c>
      <c r="AD16" s="77"/>
      <c r="AE16" s="78">
        <f t="shared" si="9"/>
        <v>-4731.538880189517</v>
      </c>
      <c r="AF16" s="51">
        <f>C16-Q16</f>
        <v>-6246.691998267739</v>
      </c>
      <c r="AG16" s="51">
        <f t="shared" si="10"/>
        <v>-7345.4498882721455</v>
      </c>
      <c r="AH16" s="51">
        <f t="shared" si="10"/>
        <v>1187.8436252778374</v>
      </c>
      <c r="AI16" s="51">
        <f t="shared" si="10"/>
        <v>-2905.5193930277346</v>
      </c>
      <c r="AJ16" s="51">
        <f t="shared" si="10"/>
        <v>-285.3695038980603</v>
      </c>
      <c r="AK16" s="51">
        <f t="shared" si="10"/>
        <v>615.4391092263886</v>
      </c>
      <c r="AL16" s="51">
        <f t="shared" si="10"/>
        <v>-523.3123467025716</v>
      </c>
      <c r="AM16" s="78">
        <f t="shared" si="11"/>
        <v>-20234.599275853543</v>
      </c>
      <c r="AN16" s="78">
        <f t="shared" si="12"/>
        <v>-40935.514545454585</v>
      </c>
      <c r="AO16" s="78">
        <f t="shared" si="12"/>
        <v>10649.818181818177</v>
      </c>
      <c r="AP16" s="78">
        <f t="shared" si="13"/>
        <v>-50520.29563948995</v>
      </c>
      <c r="AQ16" s="78">
        <f t="shared" si="14"/>
        <v>-110950.45454545453</v>
      </c>
      <c r="AR16" s="78"/>
    </row>
    <row r="17" spans="1:44" s="60" customFormat="1" ht="12.75">
      <c r="A17" s="89">
        <f>'[5]MONTH4'!$A11</f>
        <v>39548</v>
      </c>
      <c r="B17" s="51">
        <f>'[5]MONTH4'!B11</f>
        <v>32499.45</v>
      </c>
      <c r="C17" s="51">
        <f>'[5]MONTH4'!C11</f>
        <v>7022.05</v>
      </c>
      <c r="D17" s="51">
        <f>'[5]MONTH4'!D11</f>
        <v>38803.62</v>
      </c>
      <c r="E17" s="51">
        <f>'[5]MONTH4'!E11</f>
        <v>24589.58</v>
      </c>
      <c r="F17" s="51">
        <f>'[5]MONTH4'!F11</f>
        <v>22027.84</v>
      </c>
      <c r="G17" s="51">
        <f>'[5]MONTH4'!G11</f>
        <v>876.11</v>
      </c>
      <c r="H17" s="51">
        <f>'[5]MONTH4'!H11</f>
        <v>10073.57</v>
      </c>
      <c r="I17" s="52">
        <f>'[6]MONTH4'!I11</f>
        <v>5247.79</v>
      </c>
      <c r="J17" s="78">
        <f t="shared" si="15"/>
        <v>141140.01</v>
      </c>
      <c r="K17" s="52">
        <f>'[5]MONTH4'!J11</f>
        <v>55359.39999999997</v>
      </c>
      <c r="L17" s="52">
        <f>'[5]MONTH4'!K11</f>
        <v>111684</v>
      </c>
      <c r="M17" s="78">
        <f t="shared" si="16"/>
        <v>308183.41</v>
      </c>
      <c r="N17" s="96">
        <v>216654</v>
      </c>
      <c r="O17" s="64">
        <f t="shared" si="17"/>
        <v>1.4224681289059975</v>
      </c>
      <c r="P17" s="78">
        <f>$X$3/$X$5*($P$1/$X$1)</f>
        <v>39712.21888018952</v>
      </c>
      <c r="Q17" s="78">
        <f t="shared" si="1"/>
        <v>9641.271998267739</v>
      </c>
      <c r="R17" s="78">
        <f t="shared" si="2"/>
        <v>43331.88988827215</v>
      </c>
      <c r="S17" s="78">
        <f t="shared" si="3"/>
        <v>23588.156374722163</v>
      </c>
      <c r="T17" s="78">
        <f t="shared" si="4"/>
        <v>24609.679393027734</v>
      </c>
      <c r="U17" s="78">
        <f t="shared" si="5"/>
        <v>1192.4895038980603</v>
      </c>
      <c r="V17" s="78">
        <f t="shared" si="6"/>
        <v>10933.810890773611</v>
      </c>
      <c r="W17" s="78">
        <f>$X$3/$X$5*($W$1/$X$1)</f>
        <v>4473.272346702572</v>
      </c>
      <c r="X17" s="78">
        <f>SUM(P17:W17)</f>
        <v>157482.78927585352</v>
      </c>
      <c r="Y17" s="78">
        <f t="shared" si="19"/>
        <v>112295.45454545454</v>
      </c>
      <c r="Z17" s="78">
        <f t="shared" si="7"/>
        <v>94568.18181818182</v>
      </c>
      <c r="AA17" s="78">
        <f>SUM(X17:Z17)</f>
        <v>364346.4256394899</v>
      </c>
      <c r="AB17" s="78">
        <f t="shared" si="20"/>
        <v>373045.45454545453</v>
      </c>
      <c r="AC17" s="76">
        <f t="shared" si="21"/>
        <v>0.9766810483817202</v>
      </c>
      <c r="AD17" s="77"/>
      <c r="AE17" s="78">
        <f t="shared" si="9"/>
        <v>-7212.7688801895165</v>
      </c>
      <c r="AF17" s="51">
        <f>C17-Q17</f>
        <v>-2619.221998267739</v>
      </c>
      <c r="AG17" s="51">
        <f t="shared" si="10"/>
        <v>-4528.269888272145</v>
      </c>
      <c r="AH17" s="51">
        <f t="shared" si="10"/>
        <v>1001.4236252778392</v>
      </c>
      <c r="AI17" s="51">
        <f t="shared" si="10"/>
        <v>-2581.8393930277343</v>
      </c>
      <c r="AJ17" s="51">
        <f t="shared" si="10"/>
        <v>-316.3795038980603</v>
      </c>
      <c r="AK17" s="51">
        <f t="shared" si="10"/>
        <v>-860.2408907736117</v>
      </c>
      <c r="AL17" s="51">
        <f t="shared" si="10"/>
        <v>774.5176532974283</v>
      </c>
      <c r="AM17" s="78">
        <f t="shared" si="11"/>
        <v>-16342.779275853536</v>
      </c>
      <c r="AN17" s="78">
        <f t="shared" si="12"/>
        <v>-56936.05454545457</v>
      </c>
      <c r="AO17" s="78">
        <f t="shared" si="12"/>
        <v>17115.818181818177</v>
      </c>
      <c r="AP17" s="78">
        <f t="shared" si="13"/>
        <v>-56163.015639489924</v>
      </c>
      <c r="AQ17" s="78">
        <f t="shared" si="14"/>
        <v>-156391.45454545453</v>
      </c>
      <c r="AR17" s="78"/>
    </row>
    <row r="18" spans="1:44" s="60" customFormat="1" ht="12.75">
      <c r="A18" s="89">
        <f>'[5]MONTH4'!$A12</f>
        <v>39549</v>
      </c>
      <c r="B18" s="51">
        <f>'[5]MONTH4'!B12</f>
        <v>36761.58</v>
      </c>
      <c r="C18" s="51">
        <f>'[5]MONTH4'!C12</f>
        <v>8974.52</v>
      </c>
      <c r="D18" s="51">
        <f>'[5]MONTH4'!D12</f>
        <v>34836.73</v>
      </c>
      <c r="E18" s="51">
        <f>'[5]MONTH4'!E12</f>
        <v>17340.99</v>
      </c>
      <c r="F18" s="51">
        <f>'[5]MONTH4'!F12</f>
        <v>20386.68</v>
      </c>
      <c r="G18" s="51">
        <f>'[5]MONTH4'!G12</f>
        <v>1155.03</v>
      </c>
      <c r="H18" s="51">
        <f>'[5]MONTH4'!H12</f>
        <v>8340.82</v>
      </c>
      <c r="I18" s="52">
        <f>'[6]MONTH4'!I12</f>
        <v>5383.97</v>
      </c>
      <c r="J18" s="78">
        <f t="shared" si="15"/>
        <v>133180.32000000004</v>
      </c>
      <c r="K18" s="52">
        <f>'[5]MONTH4'!J12</f>
        <v>83180.42000000001</v>
      </c>
      <c r="L18" s="52">
        <f>'[5]MONTH4'!K12</f>
        <v>104798</v>
      </c>
      <c r="M18" s="78">
        <f t="shared" si="16"/>
        <v>321158.74000000005</v>
      </c>
      <c r="N18" s="96">
        <v>440046</v>
      </c>
      <c r="O18" s="64">
        <f t="shared" si="17"/>
        <v>0.7298299268712818</v>
      </c>
      <c r="P18" s="78">
        <f>$X$3/$X$5*($P$1/$X$1)</f>
        <v>39712.21888018952</v>
      </c>
      <c r="Q18" s="78">
        <f>$X$3/$X$5*($Q$1/$X$1)</f>
        <v>9641.271998267739</v>
      </c>
      <c r="R18" s="78">
        <f>$X$3/$X$5*($R$1/$X$1)</f>
        <v>43331.88988827215</v>
      </c>
      <c r="S18" s="78">
        <f>$X$3/$X$5*($S$1/$X$1)</f>
        <v>23588.156374722163</v>
      </c>
      <c r="T18" s="78">
        <f>$X$3/$X$5*($T$1/$X$1)</f>
        <v>24609.679393027734</v>
      </c>
      <c r="U18" s="78">
        <f>$X$3/$X$5*($U$1/$X$1)</f>
        <v>1192.4895038980603</v>
      </c>
      <c r="V18" s="78">
        <f>$X$3/$X$5*($V$1/$X$1)</f>
        <v>10933.810890773611</v>
      </c>
      <c r="W18" s="78">
        <f>$X$3/$X$5*($W$1/$X$1)</f>
        <v>4473.272346702572</v>
      </c>
      <c r="X18" s="78">
        <f>SUM(P18:W18)</f>
        <v>157482.78927585352</v>
      </c>
      <c r="Y18" s="78">
        <f>$Y$3/$X$5</f>
        <v>112295.45454545454</v>
      </c>
      <c r="Z18" s="78">
        <f>$Z$3/$X$5</f>
        <v>94568.18181818182</v>
      </c>
      <c r="AA18" s="78">
        <f>SUM(X18:Z18)</f>
        <v>364346.4256394899</v>
      </c>
      <c r="AB18" s="78">
        <f>$AB$3/$X$5</f>
        <v>373045.45454545453</v>
      </c>
      <c r="AC18" s="76">
        <f>AA18/AB18</f>
        <v>0.9766810483817202</v>
      </c>
      <c r="AD18" s="77"/>
      <c r="AE18" s="78">
        <f t="shared" si="9"/>
        <v>-2950.6388801895155</v>
      </c>
      <c r="AF18" s="51">
        <f>C18-Q18</f>
        <v>-666.7519982677386</v>
      </c>
      <c r="AG18" s="51">
        <f t="shared" si="10"/>
        <v>-8495.159888272145</v>
      </c>
      <c r="AH18" s="51">
        <f t="shared" si="10"/>
        <v>-6247.166374722161</v>
      </c>
      <c r="AI18" s="51">
        <f t="shared" si="10"/>
        <v>-4222.999393027734</v>
      </c>
      <c r="AJ18" s="51">
        <f t="shared" si="10"/>
        <v>-37.45950389806035</v>
      </c>
      <c r="AK18" s="51">
        <f t="shared" si="10"/>
        <v>-2592.9908907736117</v>
      </c>
      <c r="AL18" s="51">
        <f t="shared" si="10"/>
        <v>910.6976532974286</v>
      </c>
      <c r="AM18" s="78">
        <f t="shared" si="11"/>
        <v>-24302.46927585354</v>
      </c>
      <c r="AN18" s="78">
        <f t="shared" si="12"/>
        <v>-29115.03454545453</v>
      </c>
      <c r="AO18" s="78">
        <f t="shared" si="12"/>
        <v>10229.818181818177</v>
      </c>
      <c r="AP18" s="78">
        <f t="shared" si="13"/>
        <v>-43187.68563948989</v>
      </c>
      <c r="AQ18" s="78">
        <f t="shared" si="14"/>
        <v>67000.54545454547</v>
      </c>
      <c r="AR18" s="78">
        <f>AP18/AQ18</f>
        <v>-0.6445870753214882</v>
      </c>
    </row>
    <row r="19" spans="1:44" s="206" customFormat="1" ht="12.75">
      <c r="A19" s="199">
        <f>'[5]MONTH4'!$A13</f>
        <v>39550</v>
      </c>
      <c r="B19" s="200">
        <f>'[5]MONTH4'!B13</f>
        <v>21307.9</v>
      </c>
      <c r="C19" s="200">
        <f>'[5]MONTH4'!C13</f>
        <v>7754.33</v>
      </c>
      <c r="D19" s="200">
        <f>'[5]MONTH4'!D13</f>
        <v>14706.5</v>
      </c>
      <c r="E19" s="200">
        <f>'[5]MONTH4'!E13</f>
        <v>14187.85</v>
      </c>
      <c r="F19" s="200">
        <f>'[5]MONTH4'!F13</f>
        <v>12643.55</v>
      </c>
      <c r="G19" s="200">
        <f>'[5]MONTH4'!G13</f>
        <v>295.81</v>
      </c>
      <c r="H19" s="200">
        <f>'[5]MONTH4'!H13</f>
        <v>5073.46</v>
      </c>
      <c r="I19" s="201">
        <f>'[6]MONTH4'!I13</f>
        <v>2091.17</v>
      </c>
      <c r="J19" s="202">
        <f>SUM(B19:I19)</f>
        <v>78060.57</v>
      </c>
      <c r="K19" s="201">
        <f>'[5]MONTH4'!J13</f>
        <v>40242.26000000003</v>
      </c>
      <c r="L19" s="201">
        <f>'[5]MONTH4'!K13</f>
        <v>35034</v>
      </c>
      <c r="M19" s="202">
        <f>SUM(J19:L19)</f>
        <v>153336.83000000005</v>
      </c>
      <c r="N19" s="202">
        <f>SUM(K19:M19)</f>
        <v>228613.09000000008</v>
      </c>
      <c r="O19" s="203">
        <f t="shared" si="17"/>
        <v>0.6707263787913457</v>
      </c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 t="e">
        <f>AP19/AQ19</f>
        <v>#DIV/0!</v>
      </c>
    </row>
    <row r="20" spans="1:44" s="206" customFormat="1" ht="12.75">
      <c r="A20" s="199">
        <f>'[5]MONTH4'!$A14</f>
        <v>39551</v>
      </c>
      <c r="B20" s="200">
        <f>'[5]MONTH4'!B14</f>
        <v>14491.89</v>
      </c>
      <c r="C20" s="200">
        <f>'[5]MONTH4'!C14</f>
        <v>7698.77</v>
      </c>
      <c r="D20" s="200">
        <f>'[5]MONTH4'!D14</f>
        <v>6097.24</v>
      </c>
      <c r="E20" s="200">
        <f>'[5]MONTH4'!E14</f>
        <v>10275.67</v>
      </c>
      <c r="F20" s="200">
        <f>'[5]MONTH4'!F14</f>
        <v>9856.72</v>
      </c>
      <c r="G20" s="200">
        <f>'[5]MONTH4'!G14</f>
        <v>245.11</v>
      </c>
      <c r="H20" s="200">
        <f>'[5]MONTH4'!H14</f>
        <v>2929.54</v>
      </c>
      <c r="I20" s="201">
        <f>'[6]MONTH4'!I14</f>
        <v>1161.74</v>
      </c>
      <c r="J20" s="202">
        <f>SUM(B20:I20)</f>
        <v>52756.68</v>
      </c>
      <c r="K20" s="201">
        <f>'[5]MONTH4'!J14</f>
        <v>31304.219999999987</v>
      </c>
      <c r="L20" s="201">
        <f>'[5]MONTH4'!K14</f>
        <v>0</v>
      </c>
      <c r="M20" s="202">
        <f>SUM(J20:L20)</f>
        <v>84060.9</v>
      </c>
      <c r="N20" s="202">
        <f>SUM(K20:M20)</f>
        <v>115365.11999999998</v>
      </c>
      <c r="O20" s="203">
        <f t="shared" si="17"/>
        <v>0.7286509128582366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 t="e">
        <f>AP20/AQ20</f>
        <v>#DIV/0!</v>
      </c>
    </row>
    <row r="21" spans="1:44" s="60" customFormat="1" ht="12.75">
      <c r="A21" s="89">
        <f>'[5]MONTH4'!$A15</f>
        <v>39552</v>
      </c>
      <c r="B21" s="51">
        <f>'[5]MONTH4'!B15</f>
        <v>37745.51</v>
      </c>
      <c r="C21" s="51">
        <f>'[5]MONTH4'!C15</f>
        <v>7532.46</v>
      </c>
      <c r="D21" s="51">
        <f>'[5]MONTH4'!D15</f>
        <v>37539.07</v>
      </c>
      <c r="E21" s="51">
        <f>'[5]MONTH4'!E15</f>
        <v>21559.44</v>
      </c>
      <c r="F21" s="51">
        <f>'[5]MONTH4'!F15</f>
        <v>23110.19</v>
      </c>
      <c r="G21" s="51">
        <f>'[5]MONTH4'!G15</f>
        <v>1208.51</v>
      </c>
      <c r="H21" s="51">
        <f>'[5]MONTH4'!H15</f>
        <v>8377.43</v>
      </c>
      <c r="I21" s="52">
        <f>'[6]MONTH4'!I15</f>
        <v>3509.25</v>
      </c>
      <c r="J21" s="78">
        <f t="shared" si="15"/>
        <v>140581.86000000002</v>
      </c>
      <c r="K21" s="52">
        <f>'[5]MONTH4'!J15</f>
        <v>92730.84999999999</v>
      </c>
      <c r="L21" s="52">
        <f>'[5]MONTH4'!K15</f>
        <v>106980</v>
      </c>
      <c r="M21" s="78">
        <f t="shared" si="16"/>
        <v>340292.71</v>
      </c>
      <c r="N21" s="96">
        <v>394549</v>
      </c>
      <c r="O21" s="64">
        <f t="shared" si="17"/>
        <v>0.8624852933349217</v>
      </c>
      <c r="P21" s="78">
        <f>$X$3/$X$5*($P$1/$X$1)</f>
        <v>39712.21888018952</v>
      </c>
      <c r="Q21" s="78">
        <f>$X$3/$X$5*($Q$1/$X$1)</f>
        <v>9641.271998267739</v>
      </c>
      <c r="R21" s="78">
        <f>$X$3/$X$5*($R$1/$X$1)</f>
        <v>43331.88988827215</v>
      </c>
      <c r="S21" s="78">
        <f>$X$3/$X$5*($S$1/$X$1)</f>
        <v>23588.156374722163</v>
      </c>
      <c r="T21" s="78">
        <f>$X$3/$X$5*($T$1/$X$1)</f>
        <v>24609.679393027734</v>
      </c>
      <c r="U21" s="78">
        <f>$X$3/$X$5*($U$1/$X$1)</f>
        <v>1192.4895038980603</v>
      </c>
      <c r="V21" s="78">
        <f>$X$3/$X$5*($V$1/$X$1)</f>
        <v>10933.810890773611</v>
      </c>
      <c r="W21" s="78">
        <f>$X$3/$X$5*($W$1/$X$1)</f>
        <v>4473.272346702572</v>
      </c>
      <c r="X21" s="78">
        <f>SUM(P21:W21)</f>
        <v>157482.78927585352</v>
      </c>
      <c r="Y21" s="78">
        <f>$Y$3/$X$5</f>
        <v>112295.45454545454</v>
      </c>
      <c r="Z21" s="78">
        <f>$Z$3/$X$5</f>
        <v>94568.18181818182</v>
      </c>
      <c r="AA21" s="78">
        <f>SUM(X21:Z21)</f>
        <v>364346.4256394899</v>
      </c>
      <c r="AB21" s="78">
        <f>$AB$3/$X$5</f>
        <v>373045.45454545453</v>
      </c>
      <c r="AC21" s="76">
        <f>AA21/AB21</f>
        <v>0.9766810483817202</v>
      </c>
      <c r="AD21" s="77"/>
      <c r="AE21" s="78">
        <f t="shared" si="9"/>
        <v>-1966.7088801895152</v>
      </c>
      <c r="AF21" s="51">
        <f>C21-Q21</f>
        <v>-2108.811998267739</v>
      </c>
      <c r="AG21" s="51">
        <f t="shared" si="10"/>
        <v>-5792.819888272148</v>
      </c>
      <c r="AH21" s="51">
        <f t="shared" si="10"/>
        <v>-2028.716374722164</v>
      </c>
      <c r="AI21" s="51">
        <f t="shared" si="10"/>
        <v>-1499.4893930277358</v>
      </c>
      <c r="AJ21" s="51">
        <f t="shared" si="10"/>
        <v>16.02049610193967</v>
      </c>
      <c r="AK21" s="51">
        <f t="shared" si="10"/>
        <v>-2556.380890773611</v>
      </c>
      <c r="AL21" s="51">
        <f t="shared" si="10"/>
        <v>-964.0223467025717</v>
      </c>
      <c r="AM21" s="78">
        <f t="shared" si="11"/>
        <v>-16900.929275853545</v>
      </c>
      <c r="AN21" s="78">
        <f t="shared" si="12"/>
        <v>-19564.604545454553</v>
      </c>
      <c r="AO21" s="78">
        <f t="shared" si="12"/>
        <v>12411.818181818177</v>
      </c>
      <c r="AP21" s="78">
        <f t="shared" si="13"/>
        <v>-24053.71563948992</v>
      </c>
      <c r="AQ21" s="78">
        <f t="shared" si="14"/>
        <v>21503.54545454547</v>
      </c>
      <c r="AR21" s="78">
        <f>AP21/AQ21</f>
        <v>-1.118593010177556</v>
      </c>
    </row>
    <row r="22" spans="1:44" s="60" customFormat="1" ht="12.75">
      <c r="A22" s="89">
        <f>'[5]MONTH4'!$A16</f>
        <v>39553</v>
      </c>
      <c r="B22" s="51">
        <f>'[5]MONTH4'!B16</f>
        <v>47777.95</v>
      </c>
      <c r="C22" s="51">
        <f>'[5]MONTH4'!C16</f>
        <v>7399.27</v>
      </c>
      <c r="D22" s="51">
        <f>'[5]MONTH4'!D16</f>
        <v>47198.71</v>
      </c>
      <c r="E22" s="51">
        <f>'[5]MONTH4'!E16</f>
        <v>20771.99</v>
      </c>
      <c r="F22" s="51">
        <f>'[5]MONTH4'!F16</f>
        <v>22916.78</v>
      </c>
      <c r="G22" s="51">
        <f>'[5]MONTH4'!G16</f>
        <v>1247.98</v>
      </c>
      <c r="H22" s="51">
        <f>'[5]MONTH4'!H16</f>
        <v>11453.84</v>
      </c>
      <c r="I22" s="52">
        <f>'[6]MONTH4'!I16</f>
        <v>3949.87</v>
      </c>
      <c r="J22" s="78">
        <f t="shared" si="15"/>
        <v>162716.39</v>
      </c>
      <c r="K22" s="52">
        <f>'[5]MONTH4'!J16</f>
        <v>73759.39000000007</v>
      </c>
      <c r="L22" s="52">
        <f>'[5]MONTH4'!K16</f>
        <v>138087</v>
      </c>
      <c r="M22" s="78">
        <f t="shared" si="16"/>
        <v>374562.7800000001</v>
      </c>
      <c r="N22" s="96">
        <v>316312</v>
      </c>
      <c r="O22" s="64">
        <f t="shared" si="17"/>
        <v>1.1841560863957108</v>
      </c>
      <c r="P22" s="78">
        <f>$X$3/$X$5*($P$1/$X$1)</f>
        <v>39712.21888018952</v>
      </c>
      <c r="Q22" s="78">
        <f>$X$3/$X$5*($Q$1/$X$1)</f>
        <v>9641.271998267739</v>
      </c>
      <c r="R22" s="78">
        <f>$X$3/$X$5*($R$1/$X$1)</f>
        <v>43331.88988827215</v>
      </c>
      <c r="S22" s="78">
        <f>$X$3/$X$5*($S$1/$X$1)</f>
        <v>23588.156374722163</v>
      </c>
      <c r="T22" s="78">
        <f>$X$3/$X$5*($T$1/$X$1)</f>
        <v>24609.679393027734</v>
      </c>
      <c r="U22" s="78">
        <f>$X$3/$X$5*($U$1/$X$1)</f>
        <v>1192.4895038980603</v>
      </c>
      <c r="V22" s="78">
        <f>$X$3/$X$5*($V$1/$X$1)</f>
        <v>10933.810890773611</v>
      </c>
      <c r="W22" s="78">
        <f>$X$3/$X$5*($W$1/$X$1)</f>
        <v>4473.272346702572</v>
      </c>
      <c r="X22" s="78">
        <f>SUM(P22:W22)</f>
        <v>157482.78927585352</v>
      </c>
      <c r="Y22" s="78">
        <f>$Y$3/$X$5</f>
        <v>112295.45454545454</v>
      </c>
      <c r="Z22" s="78">
        <f>$Z$3/$X$5</f>
        <v>94568.18181818182</v>
      </c>
      <c r="AA22" s="78">
        <f>SUM(X22:Z22)</f>
        <v>364346.4256394899</v>
      </c>
      <c r="AB22" s="78">
        <f>$AB$3/$X$5</f>
        <v>373045.45454545453</v>
      </c>
      <c r="AC22" s="76">
        <f>AA22/AB22</f>
        <v>0.9766810483817202</v>
      </c>
      <c r="AD22" s="77"/>
      <c r="AE22" s="78">
        <f t="shared" si="9"/>
        <v>8065.73111981048</v>
      </c>
      <c r="AF22" s="51">
        <f>C22-Q22</f>
        <v>-2242.0019982677386</v>
      </c>
      <c r="AG22" s="51">
        <f t="shared" si="10"/>
        <v>3866.8201117278513</v>
      </c>
      <c r="AH22" s="51">
        <f t="shared" si="10"/>
        <v>-2816.166374722161</v>
      </c>
      <c r="AI22" s="51">
        <f t="shared" si="10"/>
        <v>-1692.8993930277356</v>
      </c>
      <c r="AJ22" s="51">
        <f t="shared" si="10"/>
        <v>55.4904961019397</v>
      </c>
      <c r="AK22" s="51">
        <f t="shared" si="10"/>
        <v>520.0291092263888</v>
      </c>
      <c r="AL22" s="51">
        <f t="shared" si="10"/>
        <v>-523.4023467025718</v>
      </c>
      <c r="AM22" s="78">
        <f t="shared" si="11"/>
        <v>5233.600724146453</v>
      </c>
      <c r="AN22" s="78">
        <f t="shared" si="12"/>
        <v>-38536.06454545447</v>
      </c>
      <c r="AO22" s="78">
        <f t="shared" si="12"/>
        <v>43518.81818181818</v>
      </c>
      <c r="AP22" s="78">
        <f t="shared" si="13"/>
        <v>10216.354360510159</v>
      </c>
      <c r="AQ22" s="78">
        <f t="shared" si="14"/>
        <v>-56733.45454545453</v>
      </c>
      <c r="AR22" s="78">
        <f>AP22/AQ22</f>
        <v>-0.1800763666228869</v>
      </c>
    </row>
    <row r="23" spans="1:44" s="60" customFormat="1" ht="12.75">
      <c r="A23" s="89">
        <f>'[5]MONTH4'!$A17</f>
        <v>39554</v>
      </c>
      <c r="B23" s="51">
        <f>'[5]MONTH4'!B17</f>
        <v>37349.7</v>
      </c>
      <c r="C23" s="51">
        <f>'[5]MONTH4'!C17</f>
        <v>8253.42</v>
      </c>
      <c r="D23" s="51">
        <f>'[5]MONTH4'!D17</f>
        <v>39322.41</v>
      </c>
      <c r="E23" s="51">
        <f>'[5]MONTH4'!E17</f>
        <v>19164.14</v>
      </c>
      <c r="F23" s="51">
        <f>'[5]MONTH4'!F17</f>
        <v>25421.93</v>
      </c>
      <c r="G23" s="51">
        <f>'[5]MONTH4'!G17</f>
        <v>915.5</v>
      </c>
      <c r="H23" s="51">
        <f>'[5]MONTH4'!H17</f>
        <v>11049.91</v>
      </c>
      <c r="I23" s="52">
        <f>'[6]MONTH4'!I17</f>
        <v>4687.09</v>
      </c>
      <c r="J23" s="78">
        <f t="shared" si="15"/>
        <v>146164.1</v>
      </c>
      <c r="K23" s="52">
        <f>'[5]MONTH4'!J17</f>
        <v>73080.75999999997</v>
      </c>
      <c r="L23" s="52">
        <f>'[5]MONTH4'!K17</f>
        <v>129148</v>
      </c>
      <c r="M23" s="78">
        <f t="shared" si="16"/>
        <v>348392.86</v>
      </c>
      <c r="N23" s="96">
        <v>316833</v>
      </c>
      <c r="O23" s="64">
        <f t="shared" si="17"/>
        <v>1.0996103941192994</v>
      </c>
      <c r="P23" s="78">
        <f>$X$3/$X$5*($P$1/$X$1)</f>
        <v>39712.21888018952</v>
      </c>
      <c r="Q23" s="78">
        <f>$X$3/$X$5*($Q$1/$X$1)</f>
        <v>9641.271998267739</v>
      </c>
      <c r="R23" s="78">
        <f>$X$3/$X$5*($R$1/$X$1)</f>
        <v>43331.88988827215</v>
      </c>
      <c r="S23" s="78">
        <f>$X$3/$X$5*($S$1/$X$1)</f>
        <v>23588.156374722163</v>
      </c>
      <c r="T23" s="78">
        <f>$X$3/$X$5*($T$1/$X$1)</f>
        <v>24609.679393027734</v>
      </c>
      <c r="U23" s="78">
        <f>$X$3/$X$5*($U$1/$X$1)</f>
        <v>1192.4895038980603</v>
      </c>
      <c r="V23" s="78">
        <f>$X$3/$X$5*($V$1/$X$1)</f>
        <v>10933.810890773611</v>
      </c>
      <c r="W23" s="78">
        <f>$X$3/$X$5*($W$1/$X$1)</f>
        <v>4473.272346702572</v>
      </c>
      <c r="X23" s="78">
        <f>SUM(P23:W23)</f>
        <v>157482.78927585352</v>
      </c>
      <c r="Y23" s="78">
        <f>$Y$3/$X$5</f>
        <v>112295.45454545454</v>
      </c>
      <c r="Z23" s="78">
        <f>$Z$3/$X$5</f>
        <v>94568.18181818182</v>
      </c>
      <c r="AA23" s="78">
        <f>SUM(X23:Z23)</f>
        <v>364346.4256394899</v>
      </c>
      <c r="AB23" s="78">
        <f>$AB$3/$X$5</f>
        <v>373045.45454545453</v>
      </c>
      <c r="AC23" s="76">
        <f>AA23/AB23</f>
        <v>0.9766810483817202</v>
      </c>
      <c r="AD23" s="77"/>
      <c r="AE23" s="78">
        <f t="shared" si="9"/>
        <v>-2362.51888018952</v>
      </c>
      <c r="AF23" s="51">
        <f>C23-Q23</f>
        <v>-1387.851998267739</v>
      </c>
      <c r="AG23" s="51">
        <f t="shared" si="10"/>
        <v>-4009.4798882721443</v>
      </c>
      <c r="AH23" s="51">
        <f t="shared" si="10"/>
        <v>-4424.016374722163</v>
      </c>
      <c r="AI23" s="51">
        <f t="shared" si="10"/>
        <v>812.2506069722658</v>
      </c>
      <c r="AJ23" s="51">
        <f t="shared" si="10"/>
        <v>-276.9895038980603</v>
      </c>
      <c r="AK23" s="51">
        <f t="shared" si="10"/>
        <v>116.09910922638846</v>
      </c>
      <c r="AL23" s="51">
        <f t="shared" si="10"/>
        <v>213.81765329742848</v>
      </c>
      <c r="AM23" s="78">
        <f aca="true" t="shared" si="22" ref="AM23:AM37">SUM(AE23:AL23)</f>
        <v>-11318.689275853545</v>
      </c>
      <c r="AN23" s="78">
        <f t="shared" si="12"/>
        <v>-39214.69454545458</v>
      </c>
      <c r="AO23" s="78">
        <f t="shared" si="12"/>
        <v>34579.81818181818</v>
      </c>
      <c r="AP23" s="78">
        <f t="shared" si="13"/>
        <v>-15953.565639489949</v>
      </c>
      <c r="AQ23" s="78">
        <f t="shared" si="14"/>
        <v>-56212.45454545453</v>
      </c>
      <c r="AR23" s="78"/>
    </row>
    <row r="24" spans="1:44" s="60" customFormat="1" ht="12.75">
      <c r="A24" s="89">
        <f>'[5]MONTH4'!$A18</f>
        <v>39555</v>
      </c>
      <c r="B24" s="51">
        <f>'[5]MONTH4'!B18</f>
        <v>40896.47</v>
      </c>
      <c r="C24" s="51">
        <f>'[5]MONTH4'!C18</f>
        <v>7621.03</v>
      </c>
      <c r="D24" s="51">
        <f>'[5]MONTH4'!D18</f>
        <v>37090.87</v>
      </c>
      <c r="E24" s="51">
        <f>'[5]MONTH4'!E18</f>
        <v>20905.78</v>
      </c>
      <c r="F24" s="51">
        <f>'[5]MONTH4'!F18</f>
        <v>22799.6</v>
      </c>
      <c r="G24" s="51">
        <f>'[5]MONTH4'!G18</f>
        <v>1219.77</v>
      </c>
      <c r="H24" s="51">
        <f>'[5]MONTH4'!H18</f>
        <v>11424.59</v>
      </c>
      <c r="I24" s="52">
        <f>'[6]MONTH4'!I18</f>
        <v>5448.18</v>
      </c>
      <c r="J24" s="78">
        <f t="shared" si="15"/>
        <v>147406.29</v>
      </c>
      <c r="K24" s="52">
        <f>'[5]MONTH4'!J18</f>
        <v>69229.87999999996</v>
      </c>
      <c r="L24" s="52">
        <f>'[5]MONTH4'!K18</f>
        <v>98755</v>
      </c>
      <c r="M24" s="78">
        <f t="shared" si="16"/>
        <v>315391.17</v>
      </c>
      <c r="N24" s="96">
        <v>240125</v>
      </c>
      <c r="O24" s="64">
        <f t="shared" si="17"/>
        <v>1.3134457886517439</v>
      </c>
      <c r="P24" s="78">
        <f>$X$3/$X$5*($P$1/$X$1)</f>
        <v>39712.21888018952</v>
      </c>
      <c r="Q24" s="78">
        <f>$X$3/$X$5*($Q$1/$X$1)</f>
        <v>9641.271998267739</v>
      </c>
      <c r="R24" s="78">
        <f>$X$3/$X$5*($R$1/$X$1)</f>
        <v>43331.88988827215</v>
      </c>
      <c r="S24" s="78">
        <f>$X$3/$X$5*($S$1/$X$1)</f>
        <v>23588.156374722163</v>
      </c>
      <c r="T24" s="78">
        <f>$X$3/$X$5*($T$1/$X$1)</f>
        <v>24609.679393027734</v>
      </c>
      <c r="U24" s="78">
        <f>$X$3/$X$5*($U$1/$X$1)</f>
        <v>1192.4895038980603</v>
      </c>
      <c r="V24" s="78">
        <f>$X$3/$X$5*($V$1/$X$1)</f>
        <v>10933.810890773611</v>
      </c>
      <c r="W24" s="78">
        <f>$X$3/$X$5*($W$1/$X$1)</f>
        <v>4473.272346702572</v>
      </c>
      <c r="X24" s="78">
        <f>SUM(P24:W24)</f>
        <v>157482.78927585352</v>
      </c>
      <c r="Y24" s="78">
        <f>$Y$3/$X$5</f>
        <v>112295.45454545454</v>
      </c>
      <c r="Z24" s="78">
        <f>$Z$3/$X$5</f>
        <v>94568.18181818182</v>
      </c>
      <c r="AA24" s="78">
        <f>SUM(X24:Z24)</f>
        <v>364346.4256394899</v>
      </c>
      <c r="AB24" s="78">
        <f>$AB$3/$X$5</f>
        <v>373045.45454545453</v>
      </c>
      <c r="AC24" s="76">
        <f>AA24/AB24</f>
        <v>0.9766810483817202</v>
      </c>
      <c r="AD24" s="77"/>
      <c r="AE24" s="78">
        <f t="shared" si="9"/>
        <v>1184.251119810484</v>
      </c>
      <c r="AF24" s="51">
        <f>C24-Q24</f>
        <v>-2020.2419982677393</v>
      </c>
      <c r="AG24" s="51">
        <f aca="true" t="shared" si="23" ref="AG24:AL25">D24-R24</f>
        <v>-6241.019888272145</v>
      </c>
      <c r="AH24" s="51">
        <f t="shared" si="23"/>
        <v>-2682.3763747221637</v>
      </c>
      <c r="AI24" s="51">
        <f t="shared" si="23"/>
        <v>-1810.079393027736</v>
      </c>
      <c r="AJ24" s="51">
        <f t="shared" si="23"/>
        <v>27.28049610193966</v>
      </c>
      <c r="AK24" s="51">
        <f t="shared" si="23"/>
        <v>490.77910922638875</v>
      </c>
      <c r="AL24" s="51">
        <f t="shared" si="23"/>
        <v>974.9076532974286</v>
      </c>
      <c r="AM24" s="78">
        <f t="shared" si="22"/>
        <v>-10076.499275853543</v>
      </c>
      <c r="AN24" s="78">
        <f t="shared" si="12"/>
        <v>-43065.57454545458</v>
      </c>
      <c r="AO24" s="78">
        <f t="shared" si="12"/>
        <v>4186.8181818181765</v>
      </c>
      <c r="AP24" s="78">
        <f t="shared" si="13"/>
        <v>-48955.25563948995</v>
      </c>
      <c r="AQ24" s="78">
        <f t="shared" si="14"/>
        <v>-132920.45454545453</v>
      </c>
      <c r="AR24" s="78"/>
    </row>
    <row r="25" spans="1:44" s="60" customFormat="1" ht="12.75">
      <c r="A25" s="89">
        <f>'[5]MONTH4'!$A19</f>
        <v>39556</v>
      </c>
      <c r="B25" s="51">
        <f>'[5]MONTH4'!B19</f>
        <v>30457.46</v>
      </c>
      <c r="C25" s="51">
        <f>'[5]MONTH4'!C19</f>
        <v>6534.05</v>
      </c>
      <c r="D25" s="51">
        <f>'[5]MONTH4'!D19</f>
        <v>39408.04</v>
      </c>
      <c r="E25" s="51">
        <f>'[5]MONTH4'!E19</f>
        <v>17483.55</v>
      </c>
      <c r="F25" s="51">
        <f>'[5]MONTH4'!F19</f>
        <v>18554.79</v>
      </c>
      <c r="G25" s="51">
        <f>'[5]MONTH4'!G19</f>
        <v>1293.06</v>
      </c>
      <c r="H25" s="51">
        <f>'[5]MONTH4'!H19</f>
        <v>9904.52</v>
      </c>
      <c r="I25" s="52">
        <f>'[6]MONTH4'!I19</f>
        <v>3525.31</v>
      </c>
      <c r="J25" s="78">
        <f t="shared" si="15"/>
        <v>127160.78000000001</v>
      </c>
      <c r="K25" s="52">
        <f>'[5]MONTH4'!J19</f>
        <v>55037.329999999994</v>
      </c>
      <c r="L25" s="52">
        <f>'[5]MONTH4'!K19</f>
        <v>99111</v>
      </c>
      <c r="M25" s="78">
        <f t="shared" si="16"/>
        <v>281309.11</v>
      </c>
      <c r="N25" s="96">
        <v>362967</v>
      </c>
      <c r="O25" s="64">
        <f t="shared" si="17"/>
        <v>0.7750266828664865</v>
      </c>
      <c r="P25" s="78">
        <f>$X$3/$X$5*($P$1/$X$1)</f>
        <v>39712.21888018952</v>
      </c>
      <c r="Q25" s="78">
        <f>$X$3/$X$5*($Q$1/$X$1)</f>
        <v>9641.271998267739</v>
      </c>
      <c r="R25" s="78">
        <f>$X$3/$X$5*($R$1/$X$1)</f>
        <v>43331.88988827215</v>
      </c>
      <c r="S25" s="78">
        <f>$X$3/$X$5*($S$1/$X$1)</f>
        <v>23588.156374722163</v>
      </c>
      <c r="T25" s="78">
        <f>$X$3/$X$5*($T$1/$X$1)</f>
        <v>24609.679393027734</v>
      </c>
      <c r="U25" s="78">
        <f>$X$3/$X$5*($U$1/$X$1)</f>
        <v>1192.4895038980603</v>
      </c>
      <c r="V25" s="78">
        <f>$X$3/$X$5*($V$1/$X$1)</f>
        <v>10933.810890773611</v>
      </c>
      <c r="W25" s="78">
        <f>$X$3/$X$5*($W$1/$X$1)</f>
        <v>4473.272346702572</v>
      </c>
      <c r="X25" s="78">
        <f>SUM(P25:W25)</f>
        <v>157482.78927585352</v>
      </c>
      <c r="Y25" s="78">
        <f>$Y$3/$X$5</f>
        <v>112295.45454545454</v>
      </c>
      <c r="Z25" s="78">
        <f>$Z$3/$X$5</f>
        <v>94568.18181818182</v>
      </c>
      <c r="AA25" s="78">
        <f>SUM(X25:Z25)</f>
        <v>364346.4256394899</v>
      </c>
      <c r="AB25" s="78">
        <f>$AB$3/$X$5</f>
        <v>373045.45454545453</v>
      </c>
      <c r="AC25" s="76">
        <f>AA25/AB25</f>
        <v>0.9766810483817202</v>
      </c>
      <c r="AD25" s="77"/>
      <c r="AE25" s="78">
        <f t="shared" si="9"/>
        <v>-9254.758880189518</v>
      </c>
      <c r="AF25" s="51">
        <f>C25-Q25</f>
        <v>-3107.221998267739</v>
      </c>
      <c r="AG25" s="51">
        <f t="shared" si="23"/>
        <v>-3923.849888272147</v>
      </c>
      <c r="AH25" s="51">
        <f t="shared" si="23"/>
        <v>-6104.606374722163</v>
      </c>
      <c r="AI25" s="51">
        <f t="shared" si="23"/>
        <v>-6054.889393027734</v>
      </c>
      <c r="AJ25" s="51">
        <f t="shared" si="23"/>
        <v>100.57049610193963</v>
      </c>
      <c r="AK25" s="51">
        <f t="shared" si="23"/>
        <v>-1029.290890773611</v>
      </c>
      <c r="AL25" s="51">
        <f t="shared" si="23"/>
        <v>-947.9623467025717</v>
      </c>
      <c r="AM25" s="78">
        <f t="shared" si="22"/>
        <v>-30322.009275853543</v>
      </c>
      <c r="AN25" s="78">
        <f t="shared" si="12"/>
        <v>-57258.12454545455</v>
      </c>
      <c r="AO25" s="78">
        <f t="shared" si="12"/>
        <v>4542.8181818181765</v>
      </c>
      <c r="AP25" s="78">
        <f t="shared" si="13"/>
        <v>-83037.31563948991</v>
      </c>
      <c r="AQ25" s="78">
        <f t="shared" si="14"/>
        <v>-10078.45454545453</v>
      </c>
      <c r="AR25" s="78">
        <f>AP25/AQ25</f>
        <v>8.239092141060503</v>
      </c>
    </row>
    <row r="26" spans="1:44" s="206" customFormat="1" ht="12.75">
      <c r="A26" s="199">
        <f>'[5]MONTH4'!$A20</f>
        <v>39557</v>
      </c>
      <c r="B26" s="200">
        <f>'[5]MONTH4'!B20</f>
        <v>14441.16</v>
      </c>
      <c r="C26" s="200">
        <f>'[5]MONTH4'!C20</f>
        <v>7144.18</v>
      </c>
      <c r="D26" s="200">
        <f>'[5]MONTH4'!D20</f>
        <v>18083.79</v>
      </c>
      <c r="E26" s="200">
        <f>'[5]MONTH4'!E20</f>
        <v>6120.99</v>
      </c>
      <c r="F26" s="200">
        <f>'[5]MONTH4'!F20</f>
        <v>10070.85</v>
      </c>
      <c r="G26" s="200">
        <f>'[5]MONTH4'!G20</f>
        <v>515.51</v>
      </c>
      <c r="H26" s="200">
        <f>'[5]MONTH4'!H20</f>
        <v>2790.05</v>
      </c>
      <c r="I26" s="201">
        <f>'[6]MONTH4'!I20</f>
        <v>2611.96</v>
      </c>
      <c r="J26" s="202">
        <f>SUM(B26:I26)</f>
        <v>61778.490000000005</v>
      </c>
      <c r="K26" s="201">
        <f>'[5]MONTH4'!J20</f>
        <v>34858.960000000014</v>
      </c>
      <c r="L26" s="201">
        <f>'[5]MONTH4'!K20</f>
        <v>34391</v>
      </c>
      <c r="M26" s="202">
        <f>SUM(J26:L26)</f>
        <v>131028.45000000001</v>
      </c>
      <c r="N26" s="202">
        <f>SUM(K26:M26)</f>
        <v>200278.41000000003</v>
      </c>
      <c r="O26" s="203">
        <f t="shared" si="17"/>
        <v>0.6542315270028356</v>
      </c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 t="e">
        <f>AP26/AQ26</f>
        <v>#DIV/0!</v>
      </c>
    </row>
    <row r="27" spans="1:44" s="206" customFormat="1" ht="12.75">
      <c r="A27" s="199">
        <f>'[5]MONTH4'!$A21</f>
        <v>39558</v>
      </c>
      <c r="B27" s="200">
        <f>'[5]MONTH4'!B21</f>
        <v>5499.55</v>
      </c>
      <c r="C27" s="200">
        <f>'[5]MONTH4'!C21</f>
        <v>7332.74</v>
      </c>
      <c r="D27" s="200">
        <f>'[5]MONTH4'!D21</f>
        <v>4549.94</v>
      </c>
      <c r="E27" s="200">
        <f>'[5]MONTH4'!E21</f>
        <v>8943.54</v>
      </c>
      <c r="F27" s="200">
        <f>'[5]MONTH4'!F21</f>
        <v>9928.53</v>
      </c>
      <c r="G27" s="200">
        <f>'[5]MONTH4'!G21</f>
        <v>50.71</v>
      </c>
      <c r="H27" s="200">
        <f>'[5]MONTH4'!H21</f>
        <v>3884.09</v>
      </c>
      <c r="I27" s="201">
        <f>'[6]MONTH4'!I21</f>
        <v>2019</v>
      </c>
      <c r="J27" s="202">
        <f>SUM(B27:I27)</f>
        <v>42208.100000000006</v>
      </c>
      <c r="K27" s="201">
        <f>'[5]MONTH4'!J21</f>
        <v>31847.879999999994</v>
      </c>
      <c r="L27" s="201">
        <f>'[5]MONTH4'!K21</f>
        <v>0</v>
      </c>
      <c r="M27" s="202">
        <f>SUM(J27:L27)</f>
        <v>74055.98</v>
      </c>
      <c r="N27" s="202">
        <f>SUM(K27:M27)</f>
        <v>105903.85999999999</v>
      </c>
      <c r="O27" s="203">
        <f t="shared" si="17"/>
        <v>0.6992755504851287</v>
      </c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 t="e">
        <f>AP27/AQ27</f>
        <v>#DIV/0!</v>
      </c>
    </row>
    <row r="28" spans="1:44" s="60" customFormat="1" ht="12.75">
      <c r="A28" s="89">
        <f>'[5]MONTH4'!$A22</f>
        <v>39559</v>
      </c>
      <c r="B28" s="51">
        <f>'[5]MONTH4'!B22</f>
        <v>34507.36</v>
      </c>
      <c r="C28" s="51">
        <f>'[5]MONTH4'!C22</f>
        <v>8164.76</v>
      </c>
      <c r="D28" s="51">
        <f>'[5]MONTH4'!D22</f>
        <v>30299.69</v>
      </c>
      <c r="E28" s="51">
        <f>'[5]MONTH4'!E22</f>
        <v>25576.84</v>
      </c>
      <c r="F28" s="51">
        <f>'[5]MONTH4'!F22</f>
        <v>21141.45</v>
      </c>
      <c r="G28" s="51">
        <f>'[5]MONTH4'!G22</f>
        <v>1233.85</v>
      </c>
      <c r="H28" s="51">
        <f>'[5]MONTH4'!H22</f>
        <v>10066.16</v>
      </c>
      <c r="I28" s="52">
        <f>'[6]MONTH4'!I22</f>
        <v>4174.3</v>
      </c>
      <c r="J28" s="78">
        <f>SUM(B28:I28)</f>
        <v>135164.41</v>
      </c>
      <c r="K28" s="52">
        <f>'[5]MONTH4'!J22</f>
        <v>78776.31999999993</v>
      </c>
      <c r="L28" s="52">
        <f>'[5]MONTH4'!K22</f>
        <v>93466</v>
      </c>
      <c r="M28" s="78">
        <f>SUM(J28:L28)</f>
        <v>307406.7299999999</v>
      </c>
      <c r="N28" s="96">
        <v>400656</v>
      </c>
      <c r="O28" s="64">
        <f t="shared" si="17"/>
        <v>0.767258521025518</v>
      </c>
      <c r="P28" s="78">
        <f>$X$3/$X$5*($P$1/$X$1)</f>
        <v>39712.21888018952</v>
      </c>
      <c r="Q28" s="78">
        <f aca="true" t="shared" si="24" ref="Q28:Q37">$X$3/$X$5*($Q$1/$X$1)</f>
        <v>9641.271998267739</v>
      </c>
      <c r="R28" s="78">
        <f aca="true" t="shared" si="25" ref="R28:R37">$X$3/$X$5*($R$1/$X$1)</f>
        <v>43331.88988827215</v>
      </c>
      <c r="S28" s="78">
        <f aca="true" t="shared" si="26" ref="S28:S37">$X$3/$X$5*($S$1/$X$1)</f>
        <v>23588.156374722163</v>
      </c>
      <c r="T28" s="78">
        <f aca="true" t="shared" si="27" ref="T28:T37">$X$3/$X$5*($T$1/$X$1)</f>
        <v>24609.679393027734</v>
      </c>
      <c r="U28" s="78">
        <f aca="true" t="shared" si="28" ref="U28:U37">$X$3/$X$5*($U$1/$X$1)</f>
        <v>1192.4895038980603</v>
      </c>
      <c r="V28" s="78">
        <f aca="true" t="shared" si="29" ref="V28:V37">$X$3/$X$5*($V$1/$X$1)</f>
        <v>10933.810890773611</v>
      </c>
      <c r="W28" s="78">
        <f>$X$3/$X$5*($W$1/$X$1)</f>
        <v>4473.272346702572</v>
      </c>
      <c r="X28" s="78">
        <f>SUM(P28:W28)</f>
        <v>157482.78927585352</v>
      </c>
      <c r="Y28" s="78">
        <f aca="true" t="shared" si="30" ref="Y28:Y37">$Y$3/$X$5</f>
        <v>112295.45454545454</v>
      </c>
      <c r="Z28" s="78">
        <f aca="true" t="shared" si="31" ref="Z28:Z37">$Z$3/$X$5</f>
        <v>94568.18181818182</v>
      </c>
      <c r="AA28" s="78">
        <f>SUM(X28:Z28)</f>
        <v>364346.4256394899</v>
      </c>
      <c r="AB28" s="78">
        <f>$AB$3/$X$5</f>
        <v>373045.45454545453</v>
      </c>
      <c r="AC28" s="76">
        <f>AA28/AB28</f>
        <v>0.9766810483817202</v>
      </c>
      <c r="AD28" s="77"/>
      <c r="AE28" s="78">
        <f t="shared" si="9"/>
        <v>-5204.858880189517</v>
      </c>
      <c r="AF28" s="51">
        <f aca="true" t="shared" si="32" ref="AF28:AL28">C28-Q28</f>
        <v>-1476.5119982677388</v>
      </c>
      <c r="AG28" s="51">
        <f t="shared" si="32"/>
        <v>-13032.19988827215</v>
      </c>
      <c r="AH28" s="51">
        <f t="shared" si="32"/>
        <v>1988.6836252778376</v>
      </c>
      <c r="AI28" s="51">
        <f t="shared" si="32"/>
        <v>-3468.2293930277337</v>
      </c>
      <c r="AJ28" s="51">
        <f t="shared" si="32"/>
        <v>41.36049610193959</v>
      </c>
      <c r="AK28" s="51">
        <f t="shared" si="32"/>
        <v>-867.6508907736115</v>
      </c>
      <c r="AL28" s="51">
        <f t="shared" si="32"/>
        <v>-298.9723467025715</v>
      </c>
      <c r="AM28" s="78">
        <f>SUM(AE28:AL28)</f>
        <v>-22318.379275853546</v>
      </c>
      <c r="AN28" s="78">
        <f>K28-Y28</f>
        <v>-33519.13454545461</v>
      </c>
      <c r="AO28" s="78">
        <f>L28-Z28</f>
        <v>-1102.1818181818235</v>
      </c>
      <c r="AP28" s="78">
        <f>SUM(AM28:AO28)</f>
        <v>-56939.695639489975</v>
      </c>
      <c r="AQ28" s="78">
        <f t="shared" si="14"/>
        <v>27610.54545454547</v>
      </c>
      <c r="AR28" s="78">
        <f>AP28/AQ28</f>
        <v>-2.062244504847915</v>
      </c>
    </row>
    <row r="29" spans="1:44" s="60" customFormat="1" ht="12.75">
      <c r="A29" s="89">
        <f>'[5]MONTH4'!$A23</f>
        <v>39560</v>
      </c>
      <c r="B29" s="51">
        <f>'[5]MONTH4'!B23</f>
        <v>33644.35</v>
      </c>
      <c r="C29" s="51">
        <f>'[5]MONTH4'!C23</f>
        <v>7543.59</v>
      </c>
      <c r="D29" s="51">
        <f>'[5]MONTH4'!D23</f>
        <v>46967.72</v>
      </c>
      <c r="E29" s="51">
        <f>'[5]MONTH4'!E23</f>
        <v>19029.9</v>
      </c>
      <c r="F29" s="51">
        <f>'[5]MONTH4'!F23</f>
        <v>20832.05</v>
      </c>
      <c r="G29" s="51">
        <f>'[5]MONTH4'!G23</f>
        <v>1340.87</v>
      </c>
      <c r="H29" s="51">
        <f>'[5]MONTH4'!H23</f>
        <v>13296.71</v>
      </c>
      <c r="I29" s="52">
        <f>'[6]MONTH4'!I23</f>
        <v>4310.46</v>
      </c>
      <c r="J29" s="78">
        <f t="shared" si="15"/>
        <v>146965.65</v>
      </c>
      <c r="K29" s="52">
        <f>'[5]MONTH4'!J23</f>
        <v>69627.29999999996</v>
      </c>
      <c r="L29" s="52">
        <f>'[5]MONTH4'!K23</f>
        <v>131212</v>
      </c>
      <c r="M29" s="78">
        <f t="shared" si="16"/>
        <v>347804.94999999995</v>
      </c>
      <c r="N29" s="96">
        <v>322949</v>
      </c>
      <c r="O29" s="64">
        <f t="shared" si="17"/>
        <v>1.0769655580292863</v>
      </c>
      <c r="P29" s="78">
        <f>$X$3/$X$5*($P$1/$X$1)</f>
        <v>39712.21888018952</v>
      </c>
      <c r="Q29" s="78">
        <f t="shared" si="24"/>
        <v>9641.271998267739</v>
      </c>
      <c r="R29" s="78">
        <f t="shared" si="25"/>
        <v>43331.88988827215</v>
      </c>
      <c r="S29" s="78">
        <f t="shared" si="26"/>
        <v>23588.156374722163</v>
      </c>
      <c r="T29" s="78">
        <f t="shared" si="27"/>
        <v>24609.679393027734</v>
      </c>
      <c r="U29" s="78">
        <f t="shared" si="28"/>
        <v>1192.4895038980603</v>
      </c>
      <c r="V29" s="78">
        <f t="shared" si="29"/>
        <v>10933.810890773611</v>
      </c>
      <c r="W29" s="78">
        <f>$X$3/$X$5*($W$1/$X$1)</f>
        <v>4473.272346702572</v>
      </c>
      <c r="X29" s="78">
        <f>SUM(P29:W29)</f>
        <v>157482.78927585352</v>
      </c>
      <c r="Y29" s="78">
        <f t="shared" si="30"/>
        <v>112295.45454545454</v>
      </c>
      <c r="Z29" s="78">
        <f t="shared" si="31"/>
        <v>94568.18181818182</v>
      </c>
      <c r="AA29" s="78">
        <f>SUM(X29:Z29)</f>
        <v>364346.4256394899</v>
      </c>
      <c r="AB29" s="78">
        <f>$AB$3/$X$5</f>
        <v>373045.45454545453</v>
      </c>
      <c r="AC29" s="76">
        <f>AA29/AB29</f>
        <v>0.9766810483817202</v>
      </c>
      <c r="AD29" s="77"/>
      <c r="AE29" s="78">
        <f t="shared" si="9"/>
        <v>-6067.868880189519</v>
      </c>
      <c r="AF29" s="51">
        <f aca="true" t="shared" si="33" ref="AF29:AK30">C29-Q29</f>
        <v>-2097.681998267739</v>
      </c>
      <c r="AG29" s="51">
        <f t="shared" si="33"/>
        <v>3635.8301117278534</v>
      </c>
      <c r="AH29" s="51">
        <f t="shared" si="33"/>
        <v>-4558.256374722161</v>
      </c>
      <c r="AI29" s="51">
        <f t="shared" si="33"/>
        <v>-3777.629393027735</v>
      </c>
      <c r="AJ29" s="51">
        <f t="shared" si="33"/>
        <v>148.38049610193957</v>
      </c>
      <c r="AK29" s="51">
        <f t="shared" si="33"/>
        <v>2362.8991092263877</v>
      </c>
      <c r="AL29" s="51">
        <f>I29-W29</f>
        <v>-162.81234670257163</v>
      </c>
      <c r="AM29" s="78">
        <f t="shared" si="22"/>
        <v>-10517.139275853544</v>
      </c>
      <c r="AN29" s="78">
        <f t="shared" si="12"/>
        <v>-42668.154545454585</v>
      </c>
      <c r="AO29" s="78">
        <f t="shared" si="12"/>
        <v>36643.81818181818</v>
      </c>
      <c r="AP29" s="78">
        <f t="shared" si="13"/>
        <v>-16541.475639489952</v>
      </c>
      <c r="AQ29" s="78">
        <f t="shared" si="14"/>
        <v>-50096.45454545453</v>
      </c>
      <c r="AR29" s="78"/>
    </row>
    <row r="30" spans="1:44" s="60" customFormat="1" ht="12.75">
      <c r="A30" s="89">
        <f>'[5]MONTH4'!$A24</f>
        <v>39561</v>
      </c>
      <c r="B30" s="51">
        <f>'[5]MONTH4'!B24</f>
        <v>43173.65</v>
      </c>
      <c r="C30" s="51">
        <f>'[5]MONTH4'!C24</f>
        <v>6706.49</v>
      </c>
      <c r="D30" s="51">
        <f>'[5]MONTH4'!D24</f>
        <v>44973.69</v>
      </c>
      <c r="E30" s="51">
        <f>'[5]MONTH4'!E24</f>
        <v>16784.06</v>
      </c>
      <c r="F30" s="51">
        <f>'[5]MONTH4'!F24</f>
        <v>25797.75</v>
      </c>
      <c r="G30" s="51">
        <f>'[5]MONTH4'!G24</f>
        <v>1113.7</v>
      </c>
      <c r="H30" s="51">
        <f>'[5]MONTH4'!H24</f>
        <v>12412.61</v>
      </c>
      <c r="I30" s="52">
        <f>'[6]MONTH4'!I24</f>
        <v>4759.19</v>
      </c>
      <c r="J30" s="78">
        <f t="shared" si="15"/>
        <v>155721.14</v>
      </c>
      <c r="K30" s="52">
        <f>'[5]MONTH4'!J24</f>
        <v>71461.74</v>
      </c>
      <c r="L30" s="52">
        <f>'[5]MONTH4'!K24</f>
        <v>125473</v>
      </c>
      <c r="M30" s="78">
        <f t="shared" si="16"/>
        <v>352655.88</v>
      </c>
      <c r="N30" s="96">
        <v>264218</v>
      </c>
      <c r="O30" s="64">
        <f t="shared" si="17"/>
        <v>1.33471557577455</v>
      </c>
      <c r="P30" s="78">
        <f>$X$3/$X$5*($P$1/$X$1)</f>
        <v>39712.21888018952</v>
      </c>
      <c r="Q30" s="78">
        <f t="shared" si="24"/>
        <v>9641.271998267739</v>
      </c>
      <c r="R30" s="78">
        <f t="shared" si="25"/>
        <v>43331.88988827215</v>
      </c>
      <c r="S30" s="78">
        <f t="shared" si="26"/>
        <v>23588.156374722163</v>
      </c>
      <c r="T30" s="78">
        <f t="shared" si="27"/>
        <v>24609.679393027734</v>
      </c>
      <c r="U30" s="78">
        <f t="shared" si="28"/>
        <v>1192.4895038980603</v>
      </c>
      <c r="V30" s="78">
        <f t="shared" si="29"/>
        <v>10933.810890773611</v>
      </c>
      <c r="W30" s="78">
        <f>$X$3/$X$5*($W$1/$X$1)</f>
        <v>4473.272346702572</v>
      </c>
      <c r="X30" s="78">
        <f>SUM(P30:W30)</f>
        <v>157482.78927585352</v>
      </c>
      <c r="Y30" s="78">
        <f t="shared" si="30"/>
        <v>112295.45454545454</v>
      </c>
      <c r="Z30" s="78">
        <f t="shared" si="31"/>
        <v>94568.18181818182</v>
      </c>
      <c r="AA30" s="78">
        <f>SUM(X30:Z30)</f>
        <v>364346.4256394899</v>
      </c>
      <c r="AB30" s="78">
        <f>$AB$3/$X$5</f>
        <v>373045.45454545453</v>
      </c>
      <c r="AC30" s="76">
        <f>AA30/AB30</f>
        <v>0.9766810483817202</v>
      </c>
      <c r="AD30" s="77"/>
      <c r="AE30" s="78">
        <f t="shared" si="9"/>
        <v>3461.4311198104842</v>
      </c>
      <c r="AF30" s="51">
        <f t="shared" si="33"/>
        <v>-2934.7819982677393</v>
      </c>
      <c r="AG30" s="51">
        <f t="shared" si="33"/>
        <v>1641.8001117278545</v>
      </c>
      <c r="AH30" s="51">
        <f t="shared" si="33"/>
        <v>-6804.096374722161</v>
      </c>
      <c r="AI30" s="51">
        <f t="shared" si="33"/>
        <v>1188.0706069722655</v>
      </c>
      <c r="AJ30" s="51">
        <f t="shared" si="33"/>
        <v>-78.78950389806027</v>
      </c>
      <c r="AK30" s="51">
        <f t="shared" si="33"/>
        <v>1478.7991092263892</v>
      </c>
      <c r="AL30" s="51">
        <f>I30-W30</f>
        <v>285.91765329742793</v>
      </c>
      <c r="AM30" s="78">
        <f t="shared" si="22"/>
        <v>-1761.6492758535396</v>
      </c>
      <c r="AN30" s="78">
        <f t="shared" si="12"/>
        <v>-40833.71454545454</v>
      </c>
      <c r="AO30" s="78">
        <f t="shared" si="12"/>
        <v>30904.818181818177</v>
      </c>
      <c r="AP30" s="78">
        <f t="shared" si="13"/>
        <v>-11690.545639489901</v>
      </c>
      <c r="AQ30" s="78">
        <f t="shared" si="14"/>
        <v>-108827.45454545453</v>
      </c>
      <c r="AR30" s="78"/>
    </row>
    <row r="31" spans="1:44" s="60" customFormat="1" ht="12.75">
      <c r="A31" s="89">
        <f>'[5]MONTH4'!$A25</f>
        <v>39562</v>
      </c>
      <c r="B31" s="51">
        <f>'[5]MONTH4'!B25</f>
        <v>37267.24</v>
      </c>
      <c r="C31" s="51">
        <f>'[5]MONTH4'!C25</f>
        <v>8793.36</v>
      </c>
      <c r="D31" s="51">
        <f>'[5]MONTH4'!D25</f>
        <v>47701.81</v>
      </c>
      <c r="E31" s="51">
        <f>'[5]MONTH4'!E25</f>
        <v>19257.69</v>
      </c>
      <c r="F31" s="51">
        <f>'[5]MONTH4'!F25</f>
        <v>25074.1</v>
      </c>
      <c r="G31" s="51">
        <f>'[5]MONTH4'!G25</f>
        <v>1119.56</v>
      </c>
      <c r="H31" s="51">
        <f>'[5]MONTH4'!H25</f>
        <v>13207.37</v>
      </c>
      <c r="I31" s="52">
        <f>'[6]MONTH4'!I25</f>
        <v>5584.3</v>
      </c>
      <c r="J31" s="78">
        <f t="shared" si="15"/>
        <v>158005.43</v>
      </c>
      <c r="K31" s="52">
        <f>'[5]MONTH4'!J25</f>
        <v>66192.49999999999</v>
      </c>
      <c r="L31" s="52">
        <f>'[5]MONTH4'!K25</f>
        <v>139024</v>
      </c>
      <c r="M31" s="78">
        <f t="shared" si="16"/>
        <v>363221.93</v>
      </c>
      <c r="N31" s="96">
        <v>426406</v>
      </c>
      <c r="O31" s="64">
        <f t="shared" si="17"/>
        <v>0.8518218083235226</v>
      </c>
      <c r="P31" s="78">
        <f aca="true" t="shared" si="34" ref="P31:P37">$X$3/$X$5*($P$1/$X$1)</f>
        <v>39712.21888018952</v>
      </c>
      <c r="Q31" s="78">
        <f t="shared" si="24"/>
        <v>9641.271998267739</v>
      </c>
      <c r="R31" s="78">
        <f t="shared" si="25"/>
        <v>43331.88988827215</v>
      </c>
      <c r="S31" s="78">
        <f t="shared" si="26"/>
        <v>23588.156374722163</v>
      </c>
      <c r="T31" s="78">
        <f t="shared" si="27"/>
        <v>24609.679393027734</v>
      </c>
      <c r="U31" s="78">
        <f t="shared" si="28"/>
        <v>1192.4895038980603</v>
      </c>
      <c r="V31" s="78">
        <f t="shared" si="29"/>
        <v>10933.810890773611</v>
      </c>
      <c r="W31" s="78">
        <f aca="true" t="shared" si="35" ref="W31:W37">$X$3/$X$5*($W$1/$X$1)</f>
        <v>4473.272346702572</v>
      </c>
      <c r="X31" s="78">
        <f aca="true" t="shared" si="36" ref="X31:X36">SUM(P31:W31)</f>
        <v>157482.78927585352</v>
      </c>
      <c r="Y31" s="78">
        <f t="shared" si="30"/>
        <v>112295.45454545454</v>
      </c>
      <c r="Z31" s="78">
        <f t="shared" si="31"/>
        <v>94568.18181818182</v>
      </c>
      <c r="AA31" s="78">
        <f aca="true" t="shared" si="37" ref="AA31:AA36">SUM(X31:Z31)</f>
        <v>364346.4256394899</v>
      </c>
      <c r="AB31" s="78">
        <f>$AB$3/$X$5</f>
        <v>373045.45454545453</v>
      </c>
      <c r="AC31" s="76">
        <f>AA31/AB31</f>
        <v>0.9766810483817202</v>
      </c>
      <c r="AD31" s="77"/>
      <c r="AE31" s="78">
        <f t="shared" si="9"/>
        <v>-2444.9788801895193</v>
      </c>
      <c r="AF31" s="51">
        <f aca="true" t="shared" si="38" ref="AF31:AK31">C31-Q28</f>
        <v>-847.9119982677385</v>
      </c>
      <c r="AG31" s="51">
        <f t="shared" si="38"/>
        <v>4369.92011172785</v>
      </c>
      <c r="AH31" s="51">
        <f t="shared" si="38"/>
        <v>-4330.466374722164</v>
      </c>
      <c r="AI31" s="51">
        <f t="shared" si="38"/>
        <v>464.42060697226407</v>
      </c>
      <c r="AJ31" s="51">
        <f t="shared" si="38"/>
        <v>-72.92950389806037</v>
      </c>
      <c r="AK31" s="51">
        <f t="shared" si="38"/>
        <v>2273.5591092263894</v>
      </c>
      <c r="AL31" s="51">
        <f>I31-W31</f>
        <v>1111.0276532974285</v>
      </c>
      <c r="AM31" s="78">
        <f t="shared" si="22"/>
        <v>522.6407241464499</v>
      </c>
      <c r="AN31" s="78">
        <f>K31-Y28</f>
        <v>-46102.95454545456</v>
      </c>
      <c r="AO31" s="78">
        <f>L31-Z28</f>
        <v>44455.81818181818</v>
      </c>
      <c r="AP31" s="78">
        <f t="shared" si="13"/>
        <v>-1124.4956394899345</v>
      </c>
      <c r="AQ31" s="78">
        <f>N31-AB28</f>
        <v>53360.54545454547</v>
      </c>
      <c r="AR31" s="78"/>
    </row>
    <row r="32" spans="1:44" s="60" customFormat="1" ht="12.75">
      <c r="A32" s="89">
        <f>'[5]MONTH4'!$A26</f>
        <v>39563</v>
      </c>
      <c r="B32" s="51">
        <f>'[5]MONTH4'!B26</f>
        <v>39962.99</v>
      </c>
      <c r="C32" s="51">
        <f>'[5]MONTH4'!C26</f>
        <v>6296.09</v>
      </c>
      <c r="D32" s="51">
        <f>'[5]MONTH4'!D26</f>
        <v>40428.66</v>
      </c>
      <c r="E32" s="51">
        <f>'[5]MONTH4'!E26</f>
        <v>18728.59</v>
      </c>
      <c r="F32" s="51">
        <f>'[5]MONTH4'!F26</f>
        <v>17926.41</v>
      </c>
      <c r="G32" s="51">
        <f>'[5]MONTH4'!G26</f>
        <v>1297.84</v>
      </c>
      <c r="H32" s="51">
        <f>'[5]MONTH4'!H26</f>
        <v>9412.59</v>
      </c>
      <c r="I32" s="52">
        <f>'[6]MONTH4'!I26</f>
        <v>5317.59</v>
      </c>
      <c r="J32" s="78">
        <f t="shared" si="15"/>
        <v>139370.76</v>
      </c>
      <c r="K32" s="52">
        <f>'[5]MONTH4'!J26</f>
        <v>76867.02</v>
      </c>
      <c r="L32" s="52">
        <f>'[5]MONTH4'!K26</f>
        <v>106644</v>
      </c>
      <c r="M32" s="78">
        <f t="shared" si="16"/>
        <v>322881.78</v>
      </c>
      <c r="N32" s="96">
        <v>585961</v>
      </c>
      <c r="O32" s="64">
        <f t="shared" si="17"/>
        <v>0.5510294712446733</v>
      </c>
      <c r="P32" s="78">
        <f t="shared" si="34"/>
        <v>39712.21888018952</v>
      </c>
      <c r="Q32" s="78">
        <f t="shared" si="24"/>
        <v>9641.271998267739</v>
      </c>
      <c r="R32" s="78">
        <f t="shared" si="25"/>
        <v>43331.88988827215</v>
      </c>
      <c r="S32" s="78">
        <f t="shared" si="26"/>
        <v>23588.156374722163</v>
      </c>
      <c r="T32" s="78">
        <f t="shared" si="27"/>
        <v>24609.679393027734</v>
      </c>
      <c r="U32" s="78">
        <f t="shared" si="28"/>
        <v>1192.4895038980603</v>
      </c>
      <c r="V32" s="78">
        <f t="shared" si="29"/>
        <v>10933.810890773611</v>
      </c>
      <c r="W32" s="78">
        <f t="shared" si="35"/>
        <v>4473.272346702572</v>
      </c>
      <c r="X32" s="78">
        <f t="shared" si="36"/>
        <v>157482.78927585352</v>
      </c>
      <c r="Y32" s="78">
        <f t="shared" si="30"/>
        <v>112295.45454545454</v>
      </c>
      <c r="Z32" s="78">
        <f t="shared" si="31"/>
        <v>94568.18181818182</v>
      </c>
      <c r="AA32" s="78">
        <f t="shared" si="37"/>
        <v>364346.4256394899</v>
      </c>
      <c r="AB32" s="78">
        <f>$AB$3/$X$5</f>
        <v>373045.45454545453</v>
      </c>
      <c r="AC32" s="76">
        <f>AA32/AB32</f>
        <v>0.9766810483817202</v>
      </c>
      <c r="AD32" s="77"/>
      <c r="AE32" s="78">
        <f t="shared" si="9"/>
        <v>250.77111981048074</v>
      </c>
      <c r="AF32" s="51">
        <f aca="true" t="shared" si="39" ref="AF32:AK32">C32-Q32</f>
        <v>-3345.181998267739</v>
      </c>
      <c r="AG32" s="51">
        <f t="shared" si="39"/>
        <v>-2903.2298882721443</v>
      </c>
      <c r="AH32" s="51">
        <f t="shared" si="39"/>
        <v>-4859.566374722162</v>
      </c>
      <c r="AI32" s="51">
        <f t="shared" si="39"/>
        <v>-6683.269393027735</v>
      </c>
      <c r="AJ32" s="51">
        <f t="shared" si="39"/>
        <v>105.3504961019396</v>
      </c>
      <c r="AK32" s="51">
        <f t="shared" si="39"/>
        <v>-1521.2208907736112</v>
      </c>
      <c r="AL32" s="51">
        <f>I32-W32</f>
        <v>844.3176532974285</v>
      </c>
      <c r="AM32" s="78">
        <f t="shared" si="22"/>
        <v>-18112.02927585354</v>
      </c>
      <c r="AN32" s="78">
        <f t="shared" si="12"/>
        <v>-35428.43454545454</v>
      </c>
      <c r="AO32" s="78">
        <f t="shared" si="12"/>
        <v>12075.818181818177</v>
      </c>
      <c r="AP32" s="78">
        <f t="shared" si="13"/>
        <v>-41464.6456394899</v>
      </c>
      <c r="AQ32" s="78">
        <f t="shared" si="14"/>
        <v>212915.54545454547</v>
      </c>
      <c r="AR32" s="78">
        <f>AP32/AQ32</f>
        <v>-0.19474691503134997</v>
      </c>
    </row>
    <row r="33" spans="1:44" s="206" customFormat="1" ht="12.75">
      <c r="A33" s="199">
        <f>'[5]MONTH4'!$A27</f>
        <v>39564</v>
      </c>
      <c r="B33" s="200">
        <f>'[5]MONTH4'!B27</f>
        <v>11755.22</v>
      </c>
      <c r="C33" s="200">
        <f>'[5]MONTH4'!C27</f>
        <v>7445.15</v>
      </c>
      <c r="D33" s="200">
        <f>'[5]MONTH4'!D27</f>
        <v>19813.54</v>
      </c>
      <c r="E33" s="200">
        <f>'[5]MONTH4'!E27</f>
        <v>6660.43</v>
      </c>
      <c r="F33" s="200">
        <f>'[5]MONTH4'!F27</f>
        <v>9522.13</v>
      </c>
      <c r="G33" s="200">
        <f>'[5]MONTH4'!G27</f>
        <v>198.77</v>
      </c>
      <c r="H33" s="200">
        <f>'[5]MONTH4'!H27</f>
        <v>2953.11</v>
      </c>
      <c r="I33" s="201">
        <f>'[6]MONTH4'!I27</f>
        <v>2016.99</v>
      </c>
      <c r="J33" s="202">
        <f>SUM(B33:I33)</f>
        <v>60365.34</v>
      </c>
      <c r="K33" s="201">
        <f>'[5]MONTH4'!J27</f>
        <v>30614.43999999999</v>
      </c>
      <c r="L33" s="201">
        <f>'[5]MONTH4'!K27</f>
        <v>49734</v>
      </c>
      <c r="M33" s="202">
        <f>SUM(J33:L33)</f>
        <v>140713.77999999997</v>
      </c>
      <c r="N33" s="202">
        <f>SUM(K33:M33)</f>
        <v>221062.21999999997</v>
      </c>
      <c r="O33" s="203">
        <f t="shared" si="17"/>
        <v>0.636534727643647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 t="e">
        <f>AP33/AQ33</f>
        <v>#DIV/0!</v>
      </c>
    </row>
    <row r="34" spans="1:44" s="206" customFormat="1" ht="12.75">
      <c r="A34" s="199">
        <f>'[5]MONTH4'!$A28</f>
        <v>39565</v>
      </c>
      <c r="B34" s="200">
        <f>'[5]MONTH4'!B28</f>
        <v>8221.22</v>
      </c>
      <c r="C34" s="200">
        <f>'[5]MONTH4'!C28</f>
        <v>6530.57</v>
      </c>
      <c r="D34" s="200">
        <f>'[5]MONTH4'!D28</f>
        <v>10635.42</v>
      </c>
      <c r="E34" s="200">
        <f>'[5]MONTH4'!E28</f>
        <v>7148.82</v>
      </c>
      <c r="F34" s="200">
        <f>'[5]MONTH4'!F28</f>
        <v>7799.76</v>
      </c>
      <c r="G34" s="200">
        <f>'[5]MONTH4'!G28</f>
        <v>263.1</v>
      </c>
      <c r="H34" s="200">
        <f>'[5]MONTH4'!H28</f>
        <v>2446.65</v>
      </c>
      <c r="I34" s="201">
        <f>'[6]MONTH4'!I28</f>
        <v>1700.25</v>
      </c>
      <c r="J34" s="202">
        <f>SUM(B34:I34)</f>
        <v>44745.79</v>
      </c>
      <c r="K34" s="201">
        <f>'[5]MONTH4'!J28</f>
        <v>28865.629999999997</v>
      </c>
      <c r="L34" s="201">
        <f>'[5]MONTH4'!K28</f>
        <v>29563</v>
      </c>
      <c r="M34" s="202">
        <f>SUM(J34:L34)</f>
        <v>103174.42</v>
      </c>
      <c r="N34" s="202">
        <f>SUM(K34:M34)</f>
        <v>161603.05</v>
      </c>
      <c r="O34" s="203">
        <f t="shared" si="17"/>
        <v>0.6384435194756535</v>
      </c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 t="e">
        <f>AP34/AQ34</f>
        <v>#DIV/0!</v>
      </c>
    </row>
    <row r="35" spans="1:44" s="60" customFormat="1" ht="12.75">
      <c r="A35" s="89">
        <f>'[5]MONTH4'!$A29</f>
        <v>39566</v>
      </c>
      <c r="B35" s="51">
        <f>'[5]MONTH4'!B29</f>
        <v>28547.72</v>
      </c>
      <c r="C35" s="51">
        <f>'[5]MONTH4'!C29</f>
        <v>8746.59</v>
      </c>
      <c r="D35" s="51">
        <f>'[5]MONTH4'!D29</f>
        <v>48549.61</v>
      </c>
      <c r="E35" s="51">
        <f>'[5]MONTH4'!E29</f>
        <v>22977.9</v>
      </c>
      <c r="F35" s="51">
        <f>'[5]MONTH4'!F29</f>
        <v>22728.69</v>
      </c>
      <c r="G35" s="51">
        <f>'[5]MONTH4'!G29</f>
        <v>1280.28</v>
      </c>
      <c r="H35" s="51">
        <f>'[5]MONTH4'!H29</f>
        <v>12521.7</v>
      </c>
      <c r="I35" s="52">
        <f>'[6]MONTH4'!I29</f>
        <v>6426.25</v>
      </c>
      <c r="J35" s="78">
        <f t="shared" si="15"/>
        <v>151778.74000000002</v>
      </c>
      <c r="K35" s="52">
        <f>'[5]MONTH4'!J29</f>
        <v>65480.74999999996</v>
      </c>
      <c r="L35" s="52">
        <f>'[5]MONTH4'!K29</f>
        <v>123045</v>
      </c>
      <c r="M35" s="78">
        <f t="shared" si="16"/>
        <v>340304.49</v>
      </c>
      <c r="N35" s="96">
        <v>441877</v>
      </c>
      <c r="O35" s="64">
        <f t="shared" si="17"/>
        <v>0.7701339739339228</v>
      </c>
      <c r="P35" s="78">
        <f t="shared" si="34"/>
        <v>39712.21888018952</v>
      </c>
      <c r="Q35" s="78">
        <f t="shared" si="24"/>
        <v>9641.271998267739</v>
      </c>
      <c r="R35" s="78">
        <f t="shared" si="25"/>
        <v>43331.88988827215</v>
      </c>
      <c r="S35" s="78">
        <f t="shared" si="26"/>
        <v>23588.156374722163</v>
      </c>
      <c r="T35" s="78">
        <f t="shared" si="27"/>
        <v>24609.679393027734</v>
      </c>
      <c r="U35" s="78">
        <f t="shared" si="28"/>
        <v>1192.4895038980603</v>
      </c>
      <c r="V35" s="78">
        <f t="shared" si="29"/>
        <v>10933.810890773611</v>
      </c>
      <c r="W35" s="78">
        <f t="shared" si="35"/>
        <v>4473.272346702572</v>
      </c>
      <c r="X35" s="78">
        <f t="shared" si="36"/>
        <v>157482.78927585352</v>
      </c>
      <c r="Y35" s="78">
        <f t="shared" si="30"/>
        <v>112295.45454545454</v>
      </c>
      <c r="Z35" s="78">
        <f t="shared" si="31"/>
        <v>94568.18181818182</v>
      </c>
      <c r="AA35" s="78">
        <f t="shared" si="37"/>
        <v>364346.4256394899</v>
      </c>
      <c r="AB35" s="78">
        <f>$AB$3/$X$5</f>
        <v>373045.45454545453</v>
      </c>
      <c r="AC35" s="76">
        <f>AA35/AB35</f>
        <v>0.9766810483817202</v>
      </c>
      <c r="AD35" s="77"/>
      <c r="AE35" s="78">
        <f t="shared" si="9"/>
        <v>-11164.498880189516</v>
      </c>
      <c r="AF35" s="51">
        <f aca="true" t="shared" si="40" ref="AF35:AL37">C35-Q35</f>
        <v>-894.6819982677389</v>
      </c>
      <c r="AG35" s="51">
        <f t="shared" si="40"/>
        <v>5217.720111727853</v>
      </c>
      <c r="AH35" s="51">
        <f t="shared" si="40"/>
        <v>-610.2563747221611</v>
      </c>
      <c r="AI35" s="51">
        <f t="shared" si="40"/>
        <v>-1880.9893930277358</v>
      </c>
      <c r="AJ35" s="51">
        <f t="shared" si="40"/>
        <v>87.79049610193965</v>
      </c>
      <c r="AK35" s="51">
        <f t="shared" si="40"/>
        <v>1587.8891092263893</v>
      </c>
      <c r="AL35" s="51">
        <f t="shared" si="40"/>
        <v>1952.9776532974283</v>
      </c>
      <c r="AM35" s="78">
        <f t="shared" si="22"/>
        <v>-5704.049275853542</v>
      </c>
      <c r="AN35" s="78">
        <f t="shared" si="12"/>
        <v>-46814.70454545458</v>
      </c>
      <c r="AO35" s="78">
        <f t="shared" si="12"/>
        <v>28476.818181818177</v>
      </c>
      <c r="AP35" s="78">
        <f t="shared" si="13"/>
        <v>-24041.935639489944</v>
      </c>
      <c r="AQ35" s="78">
        <f t="shared" si="14"/>
        <v>68831.54545454547</v>
      </c>
      <c r="AR35" s="78">
        <f>AP35/AQ35</f>
        <v>-0.34928658772258137</v>
      </c>
    </row>
    <row r="36" spans="1:44" s="60" customFormat="1" ht="12.75">
      <c r="A36" s="89">
        <f>'[5]MONTH4'!$A30</f>
        <v>39567</v>
      </c>
      <c r="B36" s="51">
        <f>'[5]MONTH4'!B30</f>
        <v>40432.84</v>
      </c>
      <c r="C36" s="51">
        <f>'[5]MONTH4'!C30</f>
        <v>7632.67</v>
      </c>
      <c r="D36" s="51">
        <f>'[5]MONTH4'!D30</f>
        <v>49624.96</v>
      </c>
      <c r="E36" s="51">
        <f>'[5]MONTH4'!E30</f>
        <v>21712.97</v>
      </c>
      <c r="F36" s="51">
        <f>'[5]MONTH4'!F30</f>
        <v>23699.15</v>
      </c>
      <c r="G36" s="51">
        <f>'[5]MONTH4'!G30</f>
        <v>1280.35</v>
      </c>
      <c r="H36" s="51">
        <f>'[5]MONTH4'!H30</f>
        <v>12848.8</v>
      </c>
      <c r="I36" s="52">
        <f>'[6]MONTH4'!I30</f>
        <v>5426.1</v>
      </c>
      <c r="J36" s="78">
        <f t="shared" si="15"/>
        <v>162657.84</v>
      </c>
      <c r="K36" s="52">
        <f>'[5]MONTH4'!J30</f>
        <v>69274.78000000004</v>
      </c>
      <c r="L36" s="52">
        <f>'[5]MONTH4'!K30</f>
        <v>127233</v>
      </c>
      <c r="M36" s="78">
        <f t="shared" si="16"/>
        <v>359165.62000000005</v>
      </c>
      <c r="N36" s="96">
        <v>812098</v>
      </c>
      <c r="O36" s="64">
        <f t="shared" si="17"/>
        <v>0.4422688148474692</v>
      </c>
      <c r="P36" s="78">
        <f t="shared" si="34"/>
        <v>39712.21888018952</v>
      </c>
      <c r="Q36" s="78">
        <f t="shared" si="24"/>
        <v>9641.271998267739</v>
      </c>
      <c r="R36" s="78">
        <f t="shared" si="25"/>
        <v>43331.88988827215</v>
      </c>
      <c r="S36" s="78">
        <f t="shared" si="26"/>
        <v>23588.156374722163</v>
      </c>
      <c r="T36" s="78">
        <f t="shared" si="27"/>
        <v>24609.679393027734</v>
      </c>
      <c r="U36" s="78">
        <f t="shared" si="28"/>
        <v>1192.4895038980603</v>
      </c>
      <c r="V36" s="78">
        <f t="shared" si="29"/>
        <v>10933.810890773611</v>
      </c>
      <c r="W36" s="78">
        <f t="shared" si="35"/>
        <v>4473.272346702572</v>
      </c>
      <c r="X36" s="78">
        <f t="shared" si="36"/>
        <v>157482.78927585352</v>
      </c>
      <c r="Y36" s="78">
        <f t="shared" si="30"/>
        <v>112295.45454545454</v>
      </c>
      <c r="Z36" s="78">
        <f t="shared" si="31"/>
        <v>94568.18181818182</v>
      </c>
      <c r="AA36" s="78">
        <f t="shared" si="37"/>
        <v>364346.4256394899</v>
      </c>
      <c r="AB36" s="78">
        <f>$AB$3/$X$5</f>
        <v>373045.45454545453</v>
      </c>
      <c r="AC36" s="76">
        <f>AA36/AB36</f>
        <v>0.9766810483817202</v>
      </c>
      <c r="AD36" s="77"/>
      <c r="AE36" s="78">
        <f t="shared" si="9"/>
        <v>720.6211198104793</v>
      </c>
      <c r="AF36" s="51">
        <f t="shared" si="40"/>
        <v>-2008.601998267739</v>
      </c>
      <c r="AG36" s="51">
        <f t="shared" si="40"/>
        <v>6293.070111727851</v>
      </c>
      <c r="AH36" s="51">
        <f t="shared" si="40"/>
        <v>-1875.1863747221614</v>
      </c>
      <c r="AI36" s="51">
        <f t="shared" si="40"/>
        <v>-910.529393027733</v>
      </c>
      <c r="AJ36" s="51">
        <f t="shared" si="40"/>
        <v>87.86049610193959</v>
      </c>
      <c r="AK36" s="51">
        <f t="shared" si="40"/>
        <v>1914.9891092263879</v>
      </c>
      <c r="AL36" s="51">
        <f t="shared" si="40"/>
        <v>952.8276532974287</v>
      </c>
      <c r="AM36" s="78">
        <f t="shared" si="22"/>
        <v>5175.050724146453</v>
      </c>
      <c r="AN36" s="78">
        <f t="shared" si="12"/>
        <v>-43020.6745454545</v>
      </c>
      <c r="AO36" s="78">
        <f t="shared" si="12"/>
        <v>32664.818181818177</v>
      </c>
      <c r="AP36" s="78">
        <f t="shared" si="13"/>
        <v>-5180.805639489874</v>
      </c>
      <c r="AQ36" s="78">
        <f t="shared" si="14"/>
        <v>439052.54545454547</v>
      </c>
      <c r="AR36" s="78">
        <f>AP36/AQ36</f>
        <v>-0.011799967209223789</v>
      </c>
    </row>
    <row r="37" spans="1:44" s="60" customFormat="1" ht="12.75">
      <c r="A37" s="89">
        <f>'[5]MONTH4'!$A31</f>
        <v>39568</v>
      </c>
      <c r="B37" s="51">
        <f>'[5]MONTH4'!B31</f>
        <v>39028.38</v>
      </c>
      <c r="C37" s="51">
        <f>'[5]MONTH4'!C31</f>
        <v>7773.38</v>
      </c>
      <c r="D37" s="51">
        <f>'[5]MONTH4'!D31</f>
        <v>38562.3</v>
      </c>
      <c r="E37" s="51">
        <f>'[5]MONTH4'!E31</f>
        <v>21265.36</v>
      </c>
      <c r="F37" s="51">
        <f>'[5]MONTH4'!F31</f>
        <v>24111.09</v>
      </c>
      <c r="G37" s="51">
        <f>'[5]MONTH4'!G31</f>
        <v>1093.28</v>
      </c>
      <c r="H37" s="51">
        <f>'[5]MONTH4'!H31</f>
        <v>9911.37</v>
      </c>
      <c r="I37" s="52">
        <f>'[6]MONTH4'!I31</f>
        <v>5826.15</v>
      </c>
      <c r="J37" s="78">
        <f t="shared" si="15"/>
        <v>147571.31</v>
      </c>
      <c r="K37" s="52">
        <f>'[5]MONTH4'!J31</f>
        <v>68098.00999999997</v>
      </c>
      <c r="L37" s="52">
        <f>'[5]MONTH4'!K31</f>
        <v>118899</v>
      </c>
      <c r="M37" s="78">
        <f t="shared" si="16"/>
        <v>334568.31999999995</v>
      </c>
      <c r="N37" s="96">
        <v>570364</v>
      </c>
      <c r="O37" s="64">
        <f t="shared" si="17"/>
        <v>0.5865873722745474</v>
      </c>
      <c r="P37" s="78">
        <f t="shared" si="34"/>
        <v>39712.21888018952</v>
      </c>
      <c r="Q37" s="78">
        <f t="shared" si="24"/>
        <v>9641.271998267739</v>
      </c>
      <c r="R37" s="78">
        <f t="shared" si="25"/>
        <v>43331.88988827215</v>
      </c>
      <c r="S37" s="78">
        <f t="shared" si="26"/>
        <v>23588.156374722163</v>
      </c>
      <c r="T37" s="78">
        <f t="shared" si="27"/>
        <v>24609.679393027734</v>
      </c>
      <c r="U37" s="78">
        <f t="shared" si="28"/>
        <v>1192.4895038980603</v>
      </c>
      <c r="V37" s="78">
        <f t="shared" si="29"/>
        <v>10933.810890773611</v>
      </c>
      <c r="W37" s="78">
        <f t="shared" si="35"/>
        <v>4473.272346702572</v>
      </c>
      <c r="X37" s="78">
        <f>SUM(P37:W37)</f>
        <v>157482.78927585352</v>
      </c>
      <c r="Y37" s="78">
        <f t="shared" si="30"/>
        <v>112295.45454545454</v>
      </c>
      <c r="Z37" s="78">
        <f t="shared" si="31"/>
        <v>94568.18181818182</v>
      </c>
      <c r="AA37" s="78">
        <f>SUM(X37:Z37)</f>
        <v>364346.4256394899</v>
      </c>
      <c r="AB37" s="78">
        <f>$AB$3/$X$5</f>
        <v>373045.45454545453</v>
      </c>
      <c r="AC37" s="76">
        <f>AA37/AB37</f>
        <v>0.9766810483817202</v>
      </c>
      <c r="AD37" s="77"/>
      <c r="AE37" s="78">
        <f t="shared" si="9"/>
        <v>-683.8388801895198</v>
      </c>
      <c r="AF37" s="51">
        <f t="shared" si="40"/>
        <v>-1867.891998267739</v>
      </c>
      <c r="AG37" s="51">
        <f t="shared" si="40"/>
        <v>-4769.589888272145</v>
      </c>
      <c r="AH37" s="51">
        <f t="shared" si="40"/>
        <v>-2322.796374722162</v>
      </c>
      <c r="AI37" s="51">
        <f t="shared" si="40"/>
        <v>-498.58939302773433</v>
      </c>
      <c r="AJ37" s="51">
        <f t="shared" si="40"/>
        <v>-99.20950389806035</v>
      </c>
      <c r="AK37" s="51">
        <f t="shared" si="40"/>
        <v>-1022.4408907736106</v>
      </c>
      <c r="AL37" s="51">
        <f t="shared" si="40"/>
        <v>1352.877653297428</v>
      </c>
      <c r="AM37" s="78">
        <f t="shared" si="22"/>
        <v>-9911.479275853544</v>
      </c>
      <c r="AN37" s="78">
        <f t="shared" si="12"/>
        <v>-44197.44454545458</v>
      </c>
      <c r="AO37" s="78">
        <f t="shared" si="12"/>
        <v>24330.818181818177</v>
      </c>
      <c r="AP37" s="78">
        <f t="shared" si="13"/>
        <v>-29778.10563948995</v>
      </c>
      <c r="AQ37" s="78">
        <f t="shared" si="14"/>
        <v>197318.54545454547</v>
      </c>
      <c r="AR37" s="78"/>
    </row>
    <row r="38" spans="1:44" s="60" customFormat="1" ht="12.75">
      <c r="A38" s="89"/>
      <c r="B38" s="51"/>
      <c r="C38" s="51"/>
      <c r="D38" s="51"/>
      <c r="E38" s="51"/>
      <c r="F38" s="51"/>
      <c r="G38" s="51"/>
      <c r="H38" s="51"/>
      <c r="I38" s="52"/>
      <c r="J38" s="78"/>
      <c r="K38" s="52"/>
      <c r="L38" s="52"/>
      <c r="M38" s="78"/>
      <c r="N38" s="96"/>
      <c r="O38" s="64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6"/>
      <c r="AD38" s="77"/>
      <c r="AE38" s="78"/>
      <c r="AF38" s="51"/>
      <c r="AG38" s="51"/>
      <c r="AH38" s="51"/>
      <c r="AI38" s="51"/>
      <c r="AJ38" s="51"/>
      <c r="AK38" s="51"/>
      <c r="AL38" s="51"/>
      <c r="AM38" s="78"/>
      <c r="AN38" s="78"/>
      <c r="AO38" s="78"/>
      <c r="AP38" s="78"/>
      <c r="AQ38" s="78"/>
      <c r="AR38" s="78"/>
    </row>
    <row r="39" spans="1:44" s="60" customFormat="1" ht="12.75">
      <c r="A39" s="89"/>
      <c r="B39" s="51"/>
      <c r="C39" s="51"/>
      <c r="D39" s="51"/>
      <c r="E39" s="51"/>
      <c r="F39" s="51"/>
      <c r="G39" s="51"/>
      <c r="H39" s="51"/>
      <c r="I39" s="52"/>
      <c r="J39" s="78"/>
      <c r="K39" s="52"/>
      <c r="L39" s="52"/>
      <c r="M39" s="78"/>
      <c r="N39" s="96"/>
      <c r="O39" s="64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96"/>
      <c r="AR39" s="78"/>
    </row>
    <row r="40" spans="1:130" s="79" customFormat="1" ht="12.75">
      <c r="A40" s="89"/>
      <c r="B40" s="51"/>
      <c r="C40" s="51"/>
      <c r="D40" s="51"/>
      <c r="E40" s="51"/>
      <c r="F40" s="51"/>
      <c r="G40" s="51"/>
      <c r="H40" s="51"/>
      <c r="I40" s="52"/>
      <c r="J40" s="80"/>
      <c r="K40" s="52"/>
      <c r="L40" s="52"/>
      <c r="M40" s="80"/>
      <c r="N40" s="63"/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6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6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6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903208.72</v>
      </c>
      <c r="C43" s="181">
        <f aca="true" t="shared" si="41" ref="C43:I43">SUM(C8:C42)</f>
        <v>222442.36</v>
      </c>
      <c r="D43" s="181">
        <f t="shared" si="41"/>
        <v>988142.68</v>
      </c>
      <c r="E43" s="181">
        <f t="shared" si="41"/>
        <v>518498.0900000001</v>
      </c>
      <c r="F43" s="181">
        <f t="shared" si="41"/>
        <v>580570.2999999999</v>
      </c>
      <c r="G43" s="181">
        <f t="shared" si="41"/>
        <v>28355.269999999993</v>
      </c>
      <c r="H43" s="181">
        <f t="shared" si="41"/>
        <v>264041.38999999996</v>
      </c>
      <c r="I43" s="181">
        <f t="shared" si="41"/>
        <v>110959.59000000001</v>
      </c>
      <c r="J43" s="181">
        <f>SUM(J8:J42)</f>
        <v>3616218.400000001</v>
      </c>
      <c r="K43" s="181">
        <f>SUM(K8:K42)</f>
        <v>1819241.4599999997</v>
      </c>
      <c r="L43" s="181">
        <f>SUM(L8:L42)</f>
        <v>2681168</v>
      </c>
      <c r="M43" s="181">
        <f>SUM(M8:M42)</f>
        <v>8116627.860000002</v>
      </c>
      <c r="N43" s="182">
        <f>SUM(N8:N42)</f>
        <v>9465200.29</v>
      </c>
      <c r="O43" s="64">
        <f>M43/N43</f>
        <v>0.857523096323195</v>
      </c>
      <c r="P43" s="180">
        <f>SUM(P8:P42)</f>
        <v>873668.815364169</v>
      </c>
      <c r="Q43" s="180">
        <f aca="true" t="shared" si="42" ref="Q43:AB43">SUM(Q8:Q42)</f>
        <v>212107.98396189025</v>
      </c>
      <c r="R43" s="180">
        <f t="shared" si="42"/>
        <v>953301.5775419873</v>
      </c>
      <c r="S43" s="180">
        <f t="shared" si="42"/>
        <v>518939.4402438873</v>
      </c>
      <c r="T43" s="180">
        <f t="shared" si="42"/>
        <v>541412.9466466102</v>
      </c>
      <c r="U43" s="180">
        <f t="shared" si="42"/>
        <v>26234.76908575734</v>
      </c>
      <c r="V43" s="180">
        <f t="shared" si="42"/>
        <v>240543.8395970194</v>
      </c>
      <c r="W43" s="180">
        <f t="shared" si="42"/>
        <v>98411.99162745662</v>
      </c>
      <c r="X43" s="180">
        <f t="shared" si="42"/>
        <v>3464621.3640687764</v>
      </c>
      <c r="Y43" s="180">
        <f t="shared" si="42"/>
        <v>2470500.0000000005</v>
      </c>
      <c r="Z43" s="180">
        <f t="shared" si="42"/>
        <v>2080500.000000001</v>
      </c>
      <c r="AA43" s="180">
        <f t="shared" si="42"/>
        <v>8015621.3640687745</v>
      </c>
      <c r="AB43" s="180">
        <f t="shared" si="42"/>
        <v>8206999.999999995</v>
      </c>
      <c r="AC43" s="76">
        <f>AA43/AB43</f>
        <v>0.9766810483817203</v>
      </c>
      <c r="AD43" s="179"/>
      <c r="AE43" s="180">
        <f>SUM(AE8:AE42)</f>
        <v>-71262.90536416939</v>
      </c>
      <c r="AF43" s="180">
        <f aca="true" t="shared" si="43" ref="AF43:AL43">SUM(AF8:AF42)</f>
        <v>-51098.90396189026</v>
      </c>
      <c r="AG43" s="180">
        <f t="shared" si="43"/>
        <v>-60732.767541987225</v>
      </c>
      <c r="AH43" s="180">
        <f t="shared" si="43"/>
        <v>-62622.77024388757</v>
      </c>
      <c r="AI43" s="180">
        <f t="shared" si="43"/>
        <v>-45004.90664661015</v>
      </c>
      <c r="AJ43" s="180">
        <f t="shared" si="43"/>
        <v>92.30091424267232</v>
      </c>
      <c r="AK43" s="180">
        <f t="shared" si="43"/>
        <v>-30.18959701944823</v>
      </c>
      <c r="AL43" s="180">
        <f t="shared" si="43"/>
        <v>-71.0116274565753</v>
      </c>
      <c r="AM43" s="180">
        <f>SUM(AM8:AM42)</f>
        <v>-290731.1540687779</v>
      </c>
      <c r="AN43" s="180">
        <f>SUM(AN8:AN42)</f>
        <v>-917744.0900000001</v>
      </c>
      <c r="AO43" s="180">
        <f>SUM(AO8:AO42)</f>
        <v>410727.9999999999</v>
      </c>
      <c r="AP43" s="180">
        <f>SUM(AP8:AP42)</f>
        <v>-797747.2440687782</v>
      </c>
      <c r="AQ43" s="180">
        <f>SUM(AQ8:AQ42)</f>
        <v>-96979.00000000035</v>
      </c>
      <c r="AR43" s="180">
        <f>AP43/AQ43</f>
        <v>8.225979274572591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 aca="true" t="shared" si="44" ref="B44:N44">SUM(P8:P37)</f>
        <v>873668.815364169</v>
      </c>
      <c r="C44" s="174">
        <f t="shared" si="44"/>
        <v>212107.98396189025</v>
      </c>
      <c r="D44" s="174">
        <f t="shared" si="44"/>
        <v>953301.5775419873</v>
      </c>
      <c r="E44" s="174">
        <f t="shared" si="44"/>
        <v>518939.4402438873</v>
      </c>
      <c r="F44" s="174">
        <f t="shared" si="44"/>
        <v>541412.9466466102</v>
      </c>
      <c r="G44" s="174">
        <f t="shared" si="44"/>
        <v>26234.76908575734</v>
      </c>
      <c r="H44" s="174">
        <f t="shared" si="44"/>
        <v>240543.8395970194</v>
      </c>
      <c r="I44" s="174">
        <f t="shared" si="44"/>
        <v>98411.99162745662</v>
      </c>
      <c r="J44" s="174">
        <f t="shared" si="44"/>
        <v>3464621.3640687764</v>
      </c>
      <c r="K44" s="174">
        <f t="shared" si="44"/>
        <v>2470500.0000000005</v>
      </c>
      <c r="L44" s="174">
        <f t="shared" si="44"/>
        <v>2080500.000000001</v>
      </c>
      <c r="M44" s="174">
        <f t="shared" si="44"/>
        <v>8015621.3640687745</v>
      </c>
      <c r="N44" s="176">
        <f t="shared" si="44"/>
        <v>8206999.999999995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>P43-B43</f>
        <v>-29539.904635831015</v>
      </c>
      <c r="AF44" s="175">
        <f aca="true" t="shared" si="45" ref="AF44:AQ44">Q43-C43</f>
        <v>-10334.376038109738</v>
      </c>
      <c r="AG44" s="175">
        <f t="shared" si="45"/>
        <v>-34841.102458012756</v>
      </c>
      <c r="AH44" s="175">
        <f t="shared" si="45"/>
        <v>441.35024388722377</v>
      </c>
      <c r="AI44" s="175">
        <f t="shared" si="45"/>
        <v>-39157.35335338977</v>
      </c>
      <c r="AJ44" s="175">
        <f t="shared" si="45"/>
        <v>-2120.5009142426534</v>
      </c>
      <c r="AK44" s="175">
        <f t="shared" si="45"/>
        <v>-23497.55040298056</v>
      </c>
      <c r="AL44" s="175">
        <f t="shared" si="45"/>
        <v>-12547.59837254339</v>
      </c>
      <c r="AM44" s="175">
        <f t="shared" si="45"/>
        <v>-151597.03593122447</v>
      </c>
      <c r="AN44" s="175">
        <f t="shared" si="45"/>
        <v>651258.5400000007</v>
      </c>
      <c r="AO44" s="175">
        <f t="shared" si="45"/>
        <v>-600667.9999999991</v>
      </c>
      <c r="AP44" s="175">
        <f t="shared" si="45"/>
        <v>-101006.49593122769</v>
      </c>
      <c r="AQ44" s="175">
        <f t="shared" si="45"/>
        <v>-1258200.2900000038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29539.904635831015</v>
      </c>
      <c r="C45" s="183">
        <f aca="true" t="shared" si="46" ref="C45:N45">C43-C44</f>
        <v>10334.376038109738</v>
      </c>
      <c r="D45" s="183">
        <f t="shared" si="46"/>
        <v>34841.102458012756</v>
      </c>
      <c r="E45" s="183">
        <f t="shared" si="46"/>
        <v>-441.35024388722377</v>
      </c>
      <c r="F45" s="183">
        <f t="shared" si="46"/>
        <v>39157.35335338977</v>
      </c>
      <c r="G45" s="183">
        <f t="shared" si="46"/>
        <v>2120.5009142426534</v>
      </c>
      <c r="H45" s="183">
        <f t="shared" si="46"/>
        <v>23497.55040298056</v>
      </c>
      <c r="I45" s="183">
        <f t="shared" si="46"/>
        <v>12547.59837254339</v>
      </c>
      <c r="J45" s="183">
        <f t="shared" si="46"/>
        <v>151597.03593122447</v>
      </c>
      <c r="K45" s="183">
        <f t="shared" si="46"/>
        <v>-651258.5400000007</v>
      </c>
      <c r="L45" s="183">
        <f t="shared" si="46"/>
        <v>600667.9999999991</v>
      </c>
      <c r="M45" s="183">
        <f t="shared" si="46"/>
        <v>101006.49593122769</v>
      </c>
      <c r="N45" s="184">
        <f t="shared" si="46"/>
        <v>1258200.2900000038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-100802.8100000004</v>
      </c>
      <c r="AF45" s="82">
        <f aca="true" t="shared" si="47" ref="AF45:AQ45">AF44+AF43</f>
        <v>-61433.28</v>
      </c>
      <c r="AG45" s="82">
        <f t="shared" si="47"/>
        <v>-95573.86999999998</v>
      </c>
      <c r="AH45" s="82">
        <f t="shared" si="47"/>
        <v>-62181.42000000035</v>
      </c>
      <c r="AI45" s="82">
        <f t="shared" si="47"/>
        <v>-84162.25999999992</v>
      </c>
      <c r="AJ45" s="82">
        <f t="shared" si="47"/>
        <v>-2028.1999999999812</v>
      </c>
      <c r="AK45" s="82">
        <f t="shared" si="47"/>
        <v>-23527.74000000001</v>
      </c>
      <c r="AL45" s="82">
        <f t="shared" si="47"/>
        <v>-12618.609999999966</v>
      </c>
      <c r="AM45" s="82">
        <f t="shared" si="47"/>
        <v>-442328.1900000024</v>
      </c>
      <c r="AN45" s="82">
        <f t="shared" si="47"/>
        <v>-266485.54999999935</v>
      </c>
      <c r="AO45" s="82">
        <f t="shared" si="47"/>
        <v>-189939.99999999919</v>
      </c>
      <c r="AP45" s="82">
        <f t="shared" si="47"/>
        <v>-898753.7400000059</v>
      </c>
      <c r="AQ45" s="82">
        <f t="shared" si="47"/>
        <v>-1355179.2900000042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/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H47" t="s">
        <v>195</v>
      </c>
      <c r="I47">
        <v>3694</v>
      </c>
      <c r="J47" s="222">
        <f>J43/1000</f>
        <v>3616.2184000000007</v>
      </c>
      <c r="K47" s="222">
        <f>J47-I47</f>
        <v>-77.78159999999934</v>
      </c>
      <c r="L47" s="8"/>
      <c r="N47" s="8"/>
      <c r="O47" s="8"/>
      <c r="Q47" s="8"/>
      <c r="R47" s="8"/>
      <c r="S47" s="8"/>
      <c r="T47" s="8"/>
      <c r="U47" s="8"/>
      <c r="V47" s="41"/>
      <c r="W47" s="41"/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8116627.860000002</v>
      </c>
      <c r="C48" s="16"/>
      <c r="I48">
        <v>33.9</v>
      </c>
      <c r="J48" s="8">
        <f>24.4+9.5</f>
        <v>33.9</v>
      </c>
      <c r="K48" s="8" t="s">
        <v>194</v>
      </c>
      <c r="L48" s="8"/>
      <c r="N48" s="8"/>
      <c r="O48" s="8"/>
      <c r="P48" s="16">
        <f>SUM(P43:W43)</f>
        <v>3464621.3640687773</v>
      </c>
    </row>
    <row r="49" spans="1:15" ht="12.75">
      <c r="A49" s="43" t="s">
        <v>64</v>
      </c>
      <c r="B49" s="101">
        <f>N43</f>
        <v>9465200.29</v>
      </c>
      <c r="I49">
        <f>I47+I48</f>
        <v>3727.9</v>
      </c>
      <c r="J49" s="222">
        <f>(J43/1000)+J48</f>
        <v>3650.1184000000007</v>
      </c>
      <c r="K49" s="222"/>
      <c r="L49" s="8"/>
      <c r="N49" s="8"/>
      <c r="O49" s="8"/>
    </row>
    <row r="50" spans="1:16" ht="12.75">
      <c r="A50" s="9" t="s">
        <v>63</v>
      </c>
      <c r="B50" s="102">
        <f>B48/B49</f>
        <v>0.857523096323195</v>
      </c>
      <c r="K50" s="8"/>
      <c r="L50" s="8"/>
      <c r="N50" s="8"/>
      <c r="O50" s="8"/>
      <c r="P50" s="16">
        <f>P44-P48</f>
        <v>-3464621.3640687773</v>
      </c>
    </row>
    <row r="51" spans="9:15" ht="12.75">
      <c r="I51">
        <f>I50+I49</f>
        <v>3727.9</v>
      </c>
      <c r="J51" s="222">
        <f>J49+J50</f>
        <v>3650.1184000000007</v>
      </c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:15" ht="12.75">
      <c r="A53" s="243" t="s">
        <v>203</v>
      </c>
      <c r="B53" s="242">
        <v>903208.72</v>
      </c>
      <c r="C53" s="242">
        <v>222442.36</v>
      </c>
      <c r="D53" s="242">
        <v>988142.68</v>
      </c>
      <c r="E53" s="242">
        <v>518498.09</v>
      </c>
      <c r="F53" s="242">
        <v>580570.3</v>
      </c>
      <c r="G53" s="242">
        <v>28355.27</v>
      </c>
      <c r="H53" s="242">
        <v>264041.39</v>
      </c>
      <c r="I53" s="242">
        <v>110959.59</v>
      </c>
      <c r="J53" s="99">
        <v>3616218.4</v>
      </c>
      <c r="K53" s="8"/>
      <c r="L53" s="8"/>
      <c r="N53" s="8"/>
      <c r="O53" s="8"/>
    </row>
    <row r="54" spans="2:15" ht="12.75">
      <c r="B54" s="67">
        <f>B53/J53</f>
        <v>0.24976608713677248</v>
      </c>
      <c r="C54" s="67">
        <f>C53/J53</f>
        <v>0.06151242413898452</v>
      </c>
      <c r="D54" s="67">
        <f>D53/J53</f>
        <v>0.2732530424600461</v>
      </c>
      <c r="E54" s="67">
        <f>E53/J53</f>
        <v>0.14338129854103945</v>
      </c>
      <c r="F54" s="67">
        <f>F53/J53</f>
        <v>0.16054624908716797</v>
      </c>
      <c r="G54" s="67">
        <f>G53/J53</f>
        <v>0.007841138687862436</v>
      </c>
      <c r="H54" s="67">
        <f>H53/J53</f>
        <v>0.07301588587680435</v>
      </c>
      <c r="I54" s="67">
        <f>I53/J53</f>
        <v>0.030683874071322684</v>
      </c>
      <c r="J54" s="68">
        <f>SUM(B54:I54)</f>
        <v>1</v>
      </c>
      <c r="K54" s="8"/>
      <c r="L54" s="8"/>
      <c r="N54" s="8"/>
      <c r="O54" s="8"/>
    </row>
    <row r="55" spans="11:15" ht="12.75"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mergeCells count="1">
    <mergeCell ref="B3:D3"/>
  </mergeCells>
  <conditionalFormatting sqref="B41:D42 AM41:AR42 P41:AB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AF35:AL38 AF9:AL11 AF14:AL18 AF21:AL25 AE8:AQ8 AF28:AL32 B8:H40">
    <cfRule type="cellIs" priority="10" dxfId="5" operator="equal" stopIfTrue="1">
      <formula>0</formula>
    </cfRule>
    <cfRule type="cellIs" priority="11" dxfId="0" operator="between" stopIfTrue="1">
      <formula>0</formula>
      <formula>#REF!</formula>
    </cfRule>
    <cfRule type="cellIs" priority="12" dxfId="2" operator="greaterThanOrEqual" stopIfTrue="1">
      <formula>#REF!</formula>
    </cfRule>
  </conditionalFormatting>
  <conditionalFormatting sqref="N44 O43 AQ39 AR8 N35:O40 K8:L40 AM9:AQ10 N21:O25 N28:O32 I8:I40 N8:O11 N14:O18 O12:O13 O19:O20 O26:O27 O33:O34">
    <cfRule type="cellIs" priority="13" dxfId="2" operator="greaterThanOrEqual" stopIfTrue="1">
      <formula>#REF!</formula>
    </cfRule>
    <cfRule type="cellIs" priority="14" dxfId="1" operator="between" stopIfTrue="1">
      <formula>#REF!</formula>
      <formula>#REF!</formula>
    </cfRule>
    <cfRule type="cellIs" priority="15" dxfId="0" operator="between" stopIfTrue="1">
      <formula>#REF!</formula>
      <formula>0.1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76"/>
  <sheetViews>
    <sheetView zoomScale="85" zoomScaleNormal="85" workbookViewId="0" topLeftCell="A1">
      <selection activeCell="AA6" sqref="AA6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130" width="9.140625" style="2" customWidth="1"/>
  </cols>
  <sheetData>
    <row r="1" spans="1:39" ht="12.75">
      <c r="A1" s="192" t="s">
        <v>117</v>
      </c>
      <c r="K1" s="8"/>
      <c r="L1" s="8"/>
      <c r="N1" s="8"/>
      <c r="P1" s="242">
        <v>3414164.27</v>
      </c>
      <c r="Q1" s="246">
        <v>828885.6</v>
      </c>
      <c r="R1" s="246">
        <v>3725356.94</v>
      </c>
      <c r="S1" s="246">
        <v>2027936.06</v>
      </c>
      <c r="T1" s="246">
        <v>2115759.09</v>
      </c>
      <c r="U1" s="242">
        <v>102521.47</v>
      </c>
      <c r="V1" s="247">
        <v>940008.58</v>
      </c>
      <c r="W1" s="247">
        <v>384579.03</v>
      </c>
      <c r="X1" s="99">
        <v>13485980.830000002</v>
      </c>
      <c r="AM1" s="8">
        <f>SUM(AE1:AL1)</f>
        <v>0</v>
      </c>
    </row>
    <row r="2" spans="11:43" ht="12.75">
      <c r="K2" s="8"/>
      <c r="L2" s="8"/>
      <c r="N2" s="8"/>
      <c r="P2" s="67">
        <f>P1/$X$1</f>
        <v>0.2531639569296347</v>
      </c>
      <c r="Q2" s="67">
        <f aca="true" t="shared" si="0" ref="Q2:W2">Q1/$X$1</f>
        <v>0.061462759768730876</v>
      </c>
      <c r="R2" s="67">
        <f t="shared" si="0"/>
        <v>0.27623922849666394</v>
      </c>
      <c r="S2" s="67">
        <f t="shared" si="0"/>
        <v>0.15037364249315782</v>
      </c>
      <c r="T2" s="67">
        <f t="shared" si="0"/>
        <v>0.1568858147338772</v>
      </c>
      <c r="U2" s="67">
        <f t="shared" si="0"/>
        <v>0.00760207739372858</v>
      </c>
      <c r="V2" s="67">
        <f t="shared" si="0"/>
        <v>0.06970264839090683</v>
      </c>
      <c r="W2" s="67">
        <f t="shared" si="0"/>
        <v>0.028516949182108543</v>
      </c>
      <c r="X2" s="68">
        <f>SUM(P2:W2)</f>
        <v>1.0039470773888084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196">
        <v>3103000</v>
      </c>
      <c r="Y3" s="196">
        <f>(4001000*50%)+430000</f>
        <v>2430500</v>
      </c>
      <c r="Z3" s="196">
        <f>4001000*50%</f>
        <v>2000500</v>
      </c>
      <c r="AA3" s="196">
        <f>SUM(X3:Z3)</f>
        <v>7534000</v>
      </c>
      <c r="AB3" s="196">
        <f>12600000-4229000</f>
        <v>8371000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44" ht="12.75">
      <c r="A4" s="58" t="s">
        <v>163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220"/>
      <c r="Y4" s="220"/>
      <c r="Z4" s="220"/>
      <c r="AA4" s="220"/>
      <c r="AB4" s="220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</row>
    <row r="5" spans="1:44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21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21</v>
      </c>
      <c r="AN5" s="41"/>
      <c r="AO5" s="41"/>
      <c r="AP5" s="41"/>
      <c r="AQ5" s="41"/>
      <c r="AR5" s="70"/>
    </row>
    <row r="6" spans="1:44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</row>
    <row r="7" spans="1:44" ht="25.5">
      <c r="A7" s="221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204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204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204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</row>
    <row r="8" spans="1:44" s="60" customFormat="1" ht="12.75">
      <c r="A8" s="89">
        <f>'[7]MONTH5'!$A2</f>
        <v>39569</v>
      </c>
      <c r="B8" s="51">
        <f>'[7]MONTH5'!B2</f>
        <v>45999.89</v>
      </c>
      <c r="C8" s="51">
        <f>'[7]MONTH5'!C2</f>
        <v>8629.16</v>
      </c>
      <c r="D8" s="51">
        <f>'[7]MONTH5'!D2</f>
        <v>42684.93</v>
      </c>
      <c r="E8" s="51">
        <f>'[7]MONTH5'!E2</f>
        <v>26485.94</v>
      </c>
      <c r="F8" s="51">
        <f>'[7]MONTH5'!F2</f>
        <v>25969.49</v>
      </c>
      <c r="G8" s="51">
        <f>'[7]MONTH5'!G2</f>
        <v>1011.41</v>
      </c>
      <c r="H8" s="51">
        <f>'[7]MONTH5'!H2</f>
        <v>10885.36</v>
      </c>
      <c r="I8" s="51">
        <f>'[7]MONTH5'!I2</f>
        <v>2842.3</v>
      </c>
      <c r="J8" s="78">
        <f aca="true" t="shared" si="1" ref="J8:J20">SUM(B8:I8)</f>
        <v>164508.47999999998</v>
      </c>
      <c r="K8" s="52">
        <f>'[7]MONTH5'!J2</f>
        <v>78550.31</v>
      </c>
      <c r="L8" s="52">
        <f>'[7]MONTH5'!K2</f>
        <v>136029</v>
      </c>
      <c r="M8" s="78">
        <f aca="true" t="shared" si="2" ref="M8:M20">SUM(J8:L8)</f>
        <v>379087.79</v>
      </c>
      <c r="N8" s="78">
        <f>'[7]MONTH5'!L2</f>
        <v>322041</v>
      </c>
      <c r="O8" s="64">
        <f>M8/N8</f>
        <v>1.1771413888293727</v>
      </c>
      <c r="P8" s="78">
        <f>$X$3/$X$5*($P$1/$X$1)</f>
        <v>37407.98849298365</v>
      </c>
      <c r="Q8" s="78">
        <f aca="true" t="shared" si="3" ref="Q8:Q16">$X$3/$X$5*($Q$1/$X$1)</f>
        <v>9081.854455351044</v>
      </c>
      <c r="R8" s="78">
        <f aca="true" t="shared" si="4" ref="R8:R16">$X$3/$X$5*($R$1/$X$1)</f>
        <v>40817.634572626106</v>
      </c>
      <c r="S8" s="78">
        <f aca="true" t="shared" si="5" ref="S8:S16">$X$3/$X$5*($S$1/$X$1)</f>
        <v>22219.4958407747</v>
      </c>
      <c r="T8" s="78">
        <f aca="true" t="shared" si="6" ref="T8:T16">$X$3/$X$5*($T$1/$X$1)</f>
        <v>23181.746815200997</v>
      </c>
      <c r="U8" s="78">
        <f aca="true" t="shared" si="7" ref="U8:U16">$X$3/$X$5*($U$1/$X$1)</f>
        <v>1123.2974358447516</v>
      </c>
      <c r="V8" s="78">
        <f aca="true" t="shared" si="8" ref="V8:V16">$X$3/$X$5*($V$1/$X$1)</f>
        <v>10299.396093189709</v>
      </c>
      <c r="W8" s="78">
        <f aca="true" t="shared" si="9" ref="W8:W16">$X$3/$X$5*($W$1/$X$1)</f>
        <v>4213.718729146801</v>
      </c>
      <c r="X8" s="78">
        <f>SUM(P12:W12)</f>
        <v>148345.13243511776</v>
      </c>
      <c r="Y8" s="78">
        <f aca="true" t="shared" si="10" ref="Y8:Y16">$Y$3/$X$5</f>
        <v>115738.09523809524</v>
      </c>
      <c r="Z8" s="78">
        <f aca="true" t="shared" si="11" ref="Z8:Z16">$Z$3/$X$5</f>
        <v>95261.90476190476</v>
      </c>
      <c r="AA8" s="78">
        <f>SUM(X8:Z8)</f>
        <v>359345.13243511773</v>
      </c>
      <c r="AB8" s="78">
        <f aca="true" t="shared" si="12" ref="AB8:AB16">$AB$3/$X$5</f>
        <v>398619.04761904763</v>
      </c>
      <c r="AC8" s="76">
        <f>AA8/AB8</f>
        <v>0.901475066436205</v>
      </c>
      <c r="AD8" s="77"/>
      <c r="AE8" s="51">
        <f>B8-P8</f>
        <v>8591.901507016351</v>
      </c>
      <c r="AF8" s="51" t="e">
        <f>C8-#REF!</f>
        <v>#REF!</v>
      </c>
      <c r="AG8" s="51" t="e">
        <f>D8-#REF!</f>
        <v>#REF!</v>
      </c>
      <c r="AH8" s="51" t="e">
        <f>E8-#REF!</f>
        <v>#REF!</v>
      </c>
      <c r="AI8" s="51" t="e">
        <f>F8-#REF!</f>
        <v>#REF!</v>
      </c>
      <c r="AJ8" s="51" t="e">
        <f>G8-#REF!</f>
        <v>#REF!</v>
      </c>
      <c r="AK8" s="51" t="e">
        <f>H8-#REF!</f>
        <v>#REF!</v>
      </c>
      <c r="AL8" s="51" t="e">
        <f>I8-#REF!</f>
        <v>#REF!</v>
      </c>
      <c r="AM8" s="96" t="e">
        <f aca="true" t="shared" si="13" ref="AM8:AM22">SUM(AE8:AL8)</f>
        <v>#REF!</v>
      </c>
      <c r="AN8" s="96" t="e">
        <f>K8-#REF!</f>
        <v>#REF!</v>
      </c>
      <c r="AO8" s="96" t="e">
        <f>L8-#REF!</f>
        <v>#REF!</v>
      </c>
      <c r="AP8" s="96" t="e">
        <f aca="true" t="shared" si="14" ref="AP8:AP37">SUM(AM8:AO8)</f>
        <v>#REF!</v>
      </c>
      <c r="AQ8" s="96" t="e">
        <f>N8-#REF!</f>
        <v>#REF!</v>
      </c>
      <c r="AR8" s="96"/>
    </row>
    <row r="9" spans="1:44" s="60" customFormat="1" ht="12.75">
      <c r="A9" s="89">
        <f>'[7]MONTH5'!$A3</f>
        <v>39570</v>
      </c>
      <c r="B9" s="51">
        <f>'[7]MONTH5'!B3</f>
        <v>38322.16</v>
      </c>
      <c r="C9" s="51">
        <f>'[7]MONTH5'!C3</f>
        <v>8875.4</v>
      </c>
      <c r="D9" s="51">
        <f>'[7]MONTH5'!D3</f>
        <v>40773.37</v>
      </c>
      <c r="E9" s="51">
        <f>'[7]MONTH5'!E3</f>
        <v>23211.99</v>
      </c>
      <c r="F9" s="51">
        <f>'[7]MONTH5'!F3</f>
        <v>18786.83</v>
      </c>
      <c r="G9" s="51">
        <f>'[7]MONTH5'!G3</f>
        <v>1081.55</v>
      </c>
      <c r="H9" s="51">
        <f>'[7]MONTH5'!H3</f>
        <v>9202.23</v>
      </c>
      <c r="I9" s="51">
        <f>'[7]MONTH5'!I3</f>
        <v>2967.35</v>
      </c>
      <c r="J9" s="78">
        <f t="shared" si="1"/>
        <v>143220.88000000003</v>
      </c>
      <c r="K9" s="52">
        <f>'[7]MONTH5'!J3</f>
        <v>67732.82999999997</v>
      </c>
      <c r="L9" s="52">
        <f>'[7]MONTH5'!K3</f>
        <v>111245</v>
      </c>
      <c r="M9" s="78">
        <f t="shared" si="2"/>
        <v>322198.71</v>
      </c>
      <c r="N9" s="78">
        <f>'[7]MONTH5'!L3</f>
        <v>309013</v>
      </c>
      <c r="O9" s="64">
        <f>M9/N9</f>
        <v>1.0426704054521978</v>
      </c>
      <c r="P9" s="78">
        <f>$X$3/$X$5*($P$1/$X$1)</f>
        <v>37407.98849298365</v>
      </c>
      <c r="Q9" s="78">
        <f t="shared" si="3"/>
        <v>9081.854455351044</v>
      </c>
      <c r="R9" s="78">
        <f t="shared" si="4"/>
        <v>40817.634572626106</v>
      </c>
      <c r="S9" s="78">
        <f t="shared" si="5"/>
        <v>22219.4958407747</v>
      </c>
      <c r="T9" s="78">
        <f t="shared" si="6"/>
        <v>23181.746815200997</v>
      </c>
      <c r="U9" s="78">
        <f t="shared" si="7"/>
        <v>1123.2974358447516</v>
      </c>
      <c r="V9" s="78">
        <f t="shared" si="8"/>
        <v>10299.396093189709</v>
      </c>
      <c r="W9" s="78">
        <f t="shared" si="9"/>
        <v>4213.718729146801</v>
      </c>
      <c r="X9" s="78">
        <f>SUM(P13:W13)</f>
        <v>148345.13243511776</v>
      </c>
      <c r="Y9" s="78">
        <f t="shared" si="10"/>
        <v>115738.09523809524</v>
      </c>
      <c r="Z9" s="78">
        <f t="shared" si="11"/>
        <v>95261.90476190476</v>
      </c>
      <c r="AA9" s="78">
        <f>SUM(X9:Z9)</f>
        <v>359345.13243511773</v>
      </c>
      <c r="AB9" s="78">
        <f t="shared" si="12"/>
        <v>398619.04761904763</v>
      </c>
      <c r="AC9" s="76">
        <f>AA9/AB9</f>
        <v>0.901475066436205</v>
      </c>
      <c r="AD9" s="77"/>
      <c r="AE9" s="78">
        <f>B9-P9</f>
        <v>914.1715070163555</v>
      </c>
      <c r="AF9" s="51">
        <f>C9-Q9</f>
        <v>-206.4544553510441</v>
      </c>
      <c r="AG9" s="51">
        <f aca="true" t="shared" si="15" ref="AG9:AL23">D9-R9</f>
        <v>-44.26457262610347</v>
      </c>
      <c r="AH9" s="51">
        <f t="shared" si="15"/>
        <v>992.4941592253017</v>
      </c>
      <c r="AI9" s="51">
        <f t="shared" si="15"/>
        <v>-4394.916815200995</v>
      </c>
      <c r="AJ9" s="51">
        <f t="shared" si="15"/>
        <v>-41.747435844751635</v>
      </c>
      <c r="AK9" s="51">
        <f t="shared" si="15"/>
        <v>-1097.1660931897095</v>
      </c>
      <c r="AL9" s="51">
        <f t="shared" si="15"/>
        <v>-1246.368729146801</v>
      </c>
      <c r="AM9" s="96">
        <f t="shared" si="13"/>
        <v>-5124.252435117747</v>
      </c>
      <c r="AN9" s="96">
        <f aca="true" t="shared" si="16" ref="AN9:AO37">K9-Y9</f>
        <v>-48005.265238095264</v>
      </c>
      <c r="AO9" s="96">
        <f t="shared" si="16"/>
        <v>15983.095238095237</v>
      </c>
      <c r="AP9" s="96">
        <f t="shared" si="14"/>
        <v>-37146.422435117776</v>
      </c>
      <c r="AQ9" s="96">
        <f aca="true" t="shared" si="17" ref="AQ9:AQ39">N9-AB9</f>
        <v>-89606.04761904763</v>
      </c>
      <c r="AR9" s="78"/>
    </row>
    <row r="10" spans="1:44" s="206" customFormat="1" ht="12.75">
      <c r="A10" s="199">
        <f>'[7]MONTH5'!$A4</f>
        <v>39571</v>
      </c>
      <c r="B10" s="200">
        <f>'[7]MONTH5'!B4</f>
        <v>13294.33</v>
      </c>
      <c r="C10" s="200">
        <f>'[7]MONTH5'!C4</f>
        <v>8476.78</v>
      </c>
      <c r="D10" s="200">
        <f>'[7]MONTH5'!D4</f>
        <v>11881.6</v>
      </c>
      <c r="E10" s="200">
        <f>'[7]MONTH5'!E4</f>
        <v>8695.95</v>
      </c>
      <c r="F10" s="200">
        <f>'[7]MONTH5'!F4</f>
        <v>9703.61</v>
      </c>
      <c r="G10" s="200">
        <f>'[7]MONTH5'!G4</f>
        <v>236.77</v>
      </c>
      <c r="H10" s="200">
        <f>'[7]MONTH5'!H4</f>
        <v>716.82</v>
      </c>
      <c r="I10" s="200">
        <f>'[7]MONTH5'!I4</f>
        <v>1791.9</v>
      </c>
      <c r="J10" s="202">
        <f t="shared" si="1"/>
        <v>54797.76</v>
      </c>
      <c r="K10" s="201">
        <f>'[7]MONTH5'!J4</f>
        <v>26050.170000000013</v>
      </c>
      <c r="L10" s="201">
        <f>'[7]MONTH5'!K4</f>
        <v>27201</v>
      </c>
      <c r="M10" s="202">
        <f t="shared" si="2"/>
        <v>108048.93000000002</v>
      </c>
      <c r="N10" s="78">
        <f>'[7]MONTH5'!L4</f>
        <v>0</v>
      </c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</row>
    <row r="11" spans="1:44" s="206" customFormat="1" ht="12.75">
      <c r="A11" s="199">
        <f>'[7]MONTH5'!$A5</f>
        <v>39572</v>
      </c>
      <c r="B11" s="200">
        <f>'[7]MONTH5'!B5</f>
        <v>9505.17</v>
      </c>
      <c r="C11" s="200">
        <f>'[7]MONTH5'!C5</f>
        <v>6976.14</v>
      </c>
      <c r="D11" s="200">
        <f>'[7]MONTH5'!D5</f>
        <v>3766.36</v>
      </c>
      <c r="E11" s="200">
        <f>'[7]MONTH5'!E5</f>
        <v>9881.61</v>
      </c>
      <c r="F11" s="200">
        <f>'[7]MONTH5'!F5</f>
        <v>7057.53</v>
      </c>
      <c r="G11" s="200">
        <f>'[7]MONTH5'!G5</f>
        <v>152.01</v>
      </c>
      <c r="H11" s="200">
        <f>'[7]MONTH5'!H5</f>
        <v>62.32</v>
      </c>
      <c r="I11" s="200">
        <f>'[7]MONTH5'!I5</f>
        <v>0</v>
      </c>
      <c r="J11" s="202">
        <f t="shared" si="1"/>
        <v>37401.14000000001</v>
      </c>
      <c r="K11" s="201">
        <f>'[7]MONTH5'!J5</f>
        <v>21257.660000000007</v>
      </c>
      <c r="L11" s="201">
        <f>'[7]MONTH5'!K5</f>
        <v>0</v>
      </c>
      <c r="M11" s="202">
        <f t="shared" si="2"/>
        <v>58658.80000000002</v>
      </c>
      <c r="N11" s="78">
        <f>'[7]MONTH5'!L5</f>
        <v>0</v>
      </c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 t="e">
        <f>AP11/AQ11</f>
        <v>#DIV/0!</v>
      </c>
    </row>
    <row r="12" spans="1:44" s="60" customFormat="1" ht="12.75">
      <c r="A12" s="89">
        <f>'[7]MONTH5'!$A6</f>
        <v>39573</v>
      </c>
      <c r="B12" s="51">
        <f>'[7]MONTH5'!B6</f>
        <v>32383.32</v>
      </c>
      <c r="C12" s="51">
        <f>'[7]MONTH5'!C6</f>
        <v>7738.28</v>
      </c>
      <c r="D12" s="51">
        <f>'[7]MONTH5'!D6</f>
        <v>34860.23</v>
      </c>
      <c r="E12" s="51">
        <f>'[7]MONTH5'!E6</f>
        <v>21703.72</v>
      </c>
      <c r="F12" s="51">
        <f>'[7]MONTH5'!F6</f>
        <v>19593.42</v>
      </c>
      <c r="G12" s="51">
        <f>'[7]MONTH5'!G6</f>
        <v>1350.45</v>
      </c>
      <c r="H12" s="51">
        <f>'[7]MONTH5'!H6</f>
        <v>11430.82</v>
      </c>
      <c r="I12" s="51">
        <f>'[7]MONTH5'!I6</f>
        <v>2750.4</v>
      </c>
      <c r="J12" s="78">
        <f t="shared" si="1"/>
        <v>131810.63999999998</v>
      </c>
      <c r="K12" s="52">
        <f>'[7]MONTH5'!J6</f>
        <v>69417.87000000001</v>
      </c>
      <c r="L12" s="52">
        <f>'[7]MONTH5'!K6</f>
        <v>103076</v>
      </c>
      <c r="M12" s="78">
        <f t="shared" si="2"/>
        <v>304304.51</v>
      </c>
      <c r="N12" s="78">
        <f>'[7]MONTH5'!L6</f>
        <v>208248</v>
      </c>
      <c r="O12" s="64">
        <f aca="true" t="shared" si="18" ref="O12:O37">M12/N12</f>
        <v>1.4612601801697975</v>
      </c>
      <c r="P12" s="78">
        <f>$X$3/$X$5*($P$1/$X$1)</f>
        <v>37407.98849298365</v>
      </c>
      <c r="Q12" s="78">
        <f t="shared" si="3"/>
        <v>9081.854455351044</v>
      </c>
      <c r="R12" s="78">
        <f t="shared" si="4"/>
        <v>40817.634572626106</v>
      </c>
      <c r="S12" s="78">
        <f t="shared" si="5"/>
        <v>22219.4958407747</v>
      </c>
      <c r="T12" s="78">
        <f t="shared" si="6"/>
        <v>23181.746815200997</v>
      </c>
      <c r="U12" s="78">
        <f t="shared" si="7"/>
        <v>1123.2974358447516</v>
      </c>
      <c r="V12" s="78">
        <f t="shared" si="8"/>
        <v>10299.396093189709</v>
      </c>
      <c r="W12" s="78">
        <f t="shared" si="9"/>
        <v>4213.718729146801</v>
      </c>
      <c r="X12" s="78">
        <f>SUM(P16:W16)</f>
        <v>148345.13243511776</v>
      </c>
      <c r="Y12" s="78">
        <f t="shared" si="10"/>
        <v>115738.09523809524</v>
      </c>
      <c r="Z12" s="78">
        <f t="shared" si="11"/>
        <v>95261.90476190476</v>
      </c>
      <c r="AA12" s="78">
        <f>SUM(X12:Z12)</f>
        <v>359345.13243511773</v>
      </c>
      <c r="AD12" s="77"/>
      <c r="AE12" s="78">
        <f>B12-P12</f>
        <v>-5024.668492983648</v>
      </c>
      <c r="AF12" s="51">
        <f aca="true" t="shared" si="19" ref="AF12:AL12">C12-Q8</f>
        <v>-1343.574455351044</v>
      </c>
      <c r="AG12" s="51">
        <f t="shared" si="19"/>
        <v>-5957.404572626103</v>
      </c>
      <c r="AH12" s="51">
        <f t="shared" si="19"/>
        <v>-515.7758407746987</v>
      </c>
      <c r="AI12" s="51">
        <f t="shared" si="19"/>
        <v>-3588.3268152009987</v>
      </c>
      <c r="AJ12" s="51">
        <f t="shared" si="19"/>
        <v>227.15256415524846</v>
      </c>
      <c r="AK12" s="51">
        <f t="shared" si="19"/>
        <v>1131.4239068102906</v>
      </c>
      <c r="AL12" s="51">
        <f t="shared" si="19"/>
        <v>-1463.3187291468007</v>
      </c>
      <c r="AM12" s="78">
        <f t="shared" si="13"/>
        <v>-16534.492435117754</v>
      </c>
      <c r="AN12" s="78">
        <f>K12-Y8</f>
        <v>-46320.22523809523</v>
      </c>
      <c r="AO12" s="78">
        <f>L12-Z8</f>
        <v>7814.095238095237</v>
      </c>
      <c r="AP12" s="78">
        <f t="shared" si="14"/>
        <v>-55040.622435117744</v>
      </c>
      <c r="AQ12" s="78">
        <f>N12-AB8</f>
        <v>-190371.04761904763</v>
      </c>
      <c r="AR12" s="78">
        <f>AP12/AQ12</f>
        <v>0.28912286360507816</v>
      </c>
    </row>
    <row r="13" spans="1:57" s="95" customFormat="1" ht="12.75">
      <c r="A13" s="89">
        <f>'[7]MONTH5'!$A7</f>
        <v>39574</v>
      </c>
      <c r="B13" s="51">
        <f>'[7]MONTH5'!B7</f>
        <v>39019.65</v>
      </c>
      <c r="C13" s="51">
        <f>'[7]MONTH5'!C7</f>
        <v>6343.07</v>
      </c>
      <c r="D13" s="51">
        <f>'[7]MONTH5'!D7</f>
        <v>50159.07</v>
      </c>
      <c r="E13" s="51">
        <f>'[7]MONTH5'!E7</f>
        <v>16833.59</v>
      </c>
      <c r="F13" s="51">
        <f>'[7]MONTH5'!F7</f>
        <v>19351.7</v>
      </c>
      <c r="G13" s="51">
        <f>'[7]MONTH5'!G7</f>
        <v>1280.31</v>
      </c>
      <c r="H13" s="51">
        <f>'[7]MONTH5'!H7</f>
        <v>9420.34</v>
      </c>
      <c r="I13" s="51">
        <f>'[7]MONTH5'!I7</f>
        <v>3667.32</v>
      </c>
      <c r="J13" s="78">
        <f t="shared" si="1"/>
        <v>146075.05000000002</v>
      </c>
      <c r="K13" s="52">
        <f>'[7]MONTH5'!J7</f>
        <v>77025.87999999993</v>
      </c>
      <c r="L13" s="52">
        <f>'[7]MONTH5'!K7</f>
        <v>155303</v>
      </c>
      <c r="M13" s="78">
        <f t="shared" si="2"/>
        <v>378403.92999999993</v>
      </c>
      <c r="N13" s="78">
        <f>'[7]MONTH5'!L7</f>
        <v>318908</v>
      </c>
      <c r="O13" s="64">
        <f t="shared" si="18"/>
        <v>1.186561422102926</v>
      </c>
      <c r="P13" s="78">
        <f>$X$3/$X$5*($P$1/$X$1)</f>
        <v>37407.98849298365</v>
      </c>
      <c r="Q13" s="78">
        <f t="shared" si="3"/>
        <v>9081.854455351044</v>
      </c>
      <c r="R13" s="78">
        <f t="shared" si="4"/>
        <v>40817.634572626106</v>
      </c>
      <c r="S13" s="78">
        <f t="shared" si="5"/>
        <v>22219.4958407747</v>
      </c>
      <c r="T13" s="78">
        <f t="shared" si="6"/>
        <v>23181.746815200997</v>
      </c>
      <c r="U13" s="78">
        <f t="shared" si="7"/>
        <v>1123.2974358447516</v>
      </c>
      <c r="V13" s="78">
        <f t="shared" si="8"/>
        <v>10299.396093189709</v>
      </c>
      <c r="W13" s="78">
        <f t="shared" si="9"/>
        <v>4213.718729146801</v>
      </c>
      <c r="X13" s="78">
        <f>SUM(P13:W13)</f>
        <v>148345.13243511776</v>
      </c>
      <c r="Y13" s="78">
        <f t="shared" si="10"/>
        <v>115738.09523809524</v>
      </c>
      <c r="Z13" s="78">
        <f t="shared" si="11"/>
        <v>95261.90476190476</v>
      </c>
      <c r="AA13" s="78">
        <f>SUM(X13:Z13)</f>
        <v>359345.13243511773</v>
      </c>
      <c r="AB13" s="78">
        <f t="shared" si="12"/>
        <v>398619.04761904763</v>
      </c>
      <c r="AC13" s="76">
        <f>AA13/AB13</f>
        <v>0.901475066436205</v>
      </c>
      <c r="AD13" s="77"/>
      <c r="AE13" s="78">
        <f>B13-P13</f>
        <v>1611.6615070163534</v>
      </c>
      <c r="AF13" s="51">
        <f>C13-Q13</f>
        <v>-2738.784455351044</v>
      </c>
      <c r="AG13" s="51">
        <f t="shared" si="15"/>
        <v>9341.435427373894</v>
      </c>
      <c r="AH13" s="51">
        <f t="shared" si="15"/>
        <v>-5385.9058407747</v>
      </c>
      <c r="AI13" s="51">
        <f t="shared" si="15"/>
        <v>-3830.046815200996</v>
      </c>
      <c r="AJ13" s="51">
        <f t="shared" si="15"/>
        <v>157.01256415524836</v>
      </c>
      <c r="AK13" s="51">
        <f t="shared" si="15"/>
        <v>-879.0560931897089</v>
      </c>
      <c r="AL13" s="51">
        <f t="shared" si="15"/>
        <v>-546.3987291468006</v>
      </c>
      <c r="AM13" s="78">
        <f t="shared" si="13"/>
        <v>-2270.0824351177544</v>
      </c>
      <c r="AN13" s="78">
        <f t="shared" si="16"/>
        <v>-38712.215238095305</v>
      </c>
      <c r="AO13" s="78">
        <f t="shared" si="16"/>
        <v>60041.09523809524</v>
      </c>
      <c r="AP13" s="78">
        <f t="shared" si="14"/>
        <v>19058.797564882174</v>
      </c>
      <c r="AQ13" s="78">
        <f t="shared" si="17"/>
        <v>-79711.04761904763</v>
      </c>
      <c r="AR13" s="91">
        <f>AP13/AQ13</f>
        <v>-0.23909857082756383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44" s="60" customFormat="1" ht="12.75">
      <c r="A14" s="89">
        <f>'[7]MONTH5'!$A8</f>
        <v>39575</v>
      </c>
      <c r="B14" s="51">
        <f>'[7]MONTH5'!B8</f>
        <v>36758.46</v>
      </c>
      <c r="C14" s="51">
        <f>'[7]MONTH5'!C8</f>
        <v>4772.05</v>
      </c>
      <c r="D14" s="51">
        <f>'[7]MONTH5'!D8</f>
        <v>52343.56</v>
      </c>
      <c r="E14" s="51">
        <f>'[7]MONTH5'!E8</f>
        <v>22564.67</v>
      </c>
      <c r="F14" s="51">
        <f>'[7]MONTH5'!F8</f>
        <v>18005.03</v>
      </c>
      <c r="G14" s="51">
        <f>'[7]MONTH5'!G8</f>
        <v>786.33</v>
      </c>
      <c r="H14" s="51">
        <f>'[7]MONTH5'!H8</f>
        <v>11594.43</v>
      </c>
      <c r="I14" s="51">
        <f>'[7]MONTH5'!I8</f>
        <v>4400.76</v>
      </c>
      <c r="J14" s="78">
        <f t="shared" si="1"/>
        <v>151225.29</v>
      </c>
      <c r="K14" s="52">
        <f>'[7]MONTH5'!J8</f>
        <v>69089.90000000001</v>
      </c>
      <c r="L14" s="52">
        <f>'[7]MONTH5'!K8</f>
        <v>163311</v>
      </c>
      <c r="M14" s="78">
        <f t="shared" si="2"/>
        <v>383626.19</v>
      </c>
      <c r="N14" s="78">
        <f>'[7]MONTH5'!L8</f>
        <v>324069</v>
      </c>
      <c r="O14" s="64">
        <f t="shared" si="18"/>
        <v>1.1837793494595288</v>
      </c>
      <c r="P14" s="78">
        <f>$X$3/$X$5*($P$1/$X$1)</f>
        <v>37407.98849298365</v>
      </c>
      <c r="Q14" s="78">
        <f t="shared" si="3"/>
        <v>9081.854455351044</v>
      </c>
      <c r="R14" s="78">
        <f t="shared" si="4"/>
        <v>40817.634572626106</v>
      </c>
      <c r="S14" s="78">
        <f t="shared" si="5"/>
        <v>22219.4958407747</v>
      </c>
      <c r="T14" s="78">
        <f t="shared" si="6"/>
        <v>23181.746815200997</v>
      </c>
      <c r="U14" s="78">
        <f t="shared" si="7"/>
        <v>1123.2974358447516</v>
      </c>
      <c r="V14" s="78">
        <f t="shared" si="8"/>
        <v>10299.396093189709</v>
      </c>
      <c r="W14" s="78">
        <f t="shared" si="9"/>
        <v>4213.718729146801</v>
      </c>
      <c r="X14" s="78">
        <f>SUM(P14:W14)</f>
        <v>148345.13243511776</v>
      </c>
      <c r="Y14" s="78">
        <f t="shared" si="10"/>
        <v>115738.09523809524</v>
      </c>
      <c r="Z14" s="78">
        <f t="shared" si="11"/>
        <v>95261.90476190476</v>
      </c>
      <c r="AA14" s="78">
        <f>SUM(X14:Z14)</f>
        <v>359345.13243511773</v>
      </c>
      <c r="AB14" s="78">
        <f t="shared" si="12"/>
        <v>398619.04761904763</v>
      </c>
      <c r="AC14" s="76">
        <f>AA14/AB14</f>
        <v>0.901475066436205</v>
      </c>
      <c r="AD14" s="77"/>
      <c r="AE14" s="78">
        <f>B14-P14</f>
        <v>-649.5284929836489</v>
      </c>
      <c r="AF14" s="51">
        <f>C14-Q14</f>
        <v>-4309.8044553510435</v>
      </c>
      <c r="AG14" s="51">
        <f t="shared" si="15"/>
        <v>11525.925427373892</v>
      </c>
      <c r="AH14" s="51">
        <f t="shared" si="15"/>
        <v>345.17415922529835</v>
      </c>
      <c r="AI14" s="51">
        <f t="shared" si="15"/>
        <v>-5176.716815200998</v>
      </c>
      <c r="AJ14" s="51">
        <f t="shared" si="15"/>
        <v>-336.96743584475155</v>
      </c>
      <c r="AK14" s="51">
        <f t="shared" si="15"/>
        <v>1295.0339068102912</v>
      </c>
      <c r="AL14" s="51">
        <f t="shared" si="15"/>
        <v>187.04127085319942</v>
      </c>
      <c r="AM14" s="78">
        <f t="shared" si="13"/>
        <v>2880.1575648822386</v>
      </c>
      <c r="AN14" s="78">
        <f t="shared" si="16"/>
        <v>-46648.19523809523</v>
      </c>
      <c r="AO14" s="78">
        <f t="shared" si="16"/>
        <v>68049.09523809524</v>
      </c>
      <c r="AP14" s="78">
        <f t="shared" si="14"/>
        <v>24281.05756488225</v>
      </c>
      <c r="AQ14" s="78">
        <f t="shared" si="17"/>
        <v>-74550.04761904763</v>
      </c>
      <c r="AR14" s="78">
        <f>AP14/AQ14</f>
        <v>-0.3257014360199873</v>
      </c>
    </row>
    <row r="15" spans="1:44" s="60" customFormat="1" ht="12.75">
      <c r="A15" s="89">
        <f>'[7]MONTH5'!$A9</f>
        <v>39576</v>
      </c>
      <c r="B15" s="51">
        <f>'[7]MONTH5'!B9</f>
        <v>40791.64</v>
      </c>
      <c r="C15" s="51">
        <f>'[7]MONTH5'!C9</f>
        <v>6448.52</v>
      </c>
      <c r="D15" s="51">
        <f>'[7]MONTH5'!D9</f>
        <v>40543.36</v>
      </c>
      <c r="E15" s="51">
        <f>'[7]MONTH5'!E9</f>
        <v>17928.1</v>
      </c>
      <c r="F15" s="51">
        <f>'[7]MONTH5'!F9</f>
        <v>19084.55</v>
      </c>
      <c r="G15" s="51">
        <f>'[7]MONTH5'!G9</f>
        <v>733.72</v>
      </c>
      <c r="H15" s="51">
        <f>'[7]MONTH5'!H9</f>
        <v>8773.69</v>
      </c>
      <c r="I15" s="51">
        <f>'[7]MONTH5'!I9</f>
        <v>5234.17</v>
      </c>
      <c r="J15" s="78">
        <f t="shared" si="1"/>
        <v>139537.75</v>
      </c>
      <c r="K15" s="52">
        <f>'[7]MONTH5'!J9</f>
        <v>78148.61000000002</v>
      </c>
      <c r="L15" s="52">
        <f>'[7]MONTH5'!K9</f>
        <v>127724</v>
      </c>
      <c r="M15" s="78">
        <f t="shared" si="2"/>
        <v>345410.36</v>
      </c>
      <c r="N15" s="78">
        <f>'[7]MONTH5'!L9</f>
        <v>363801</v>
      </c>
      <c r="O15" s="64">
        <f t="shared" si="18"/>
        <v>0.949448627134065</v>
      </c>
      <c r="P15" s="78">
        <f>$X$3/$X$5*($P$1/$X$1)</f>
        <v>37407.98849298365</v>
      </c>
      <c r="Q15" s="78">
        <f t="shared" si="3"/>
        <v>9081.854455351044</v>
      </c>
      <c r="R15" s="78">
        <f t="shared" si="4"/>
        <v>40817.634572626106</v>
      </c>
      <c r="S15" s="78">
        <f t="shared" si="5"/>
        <v>22219.4958407747</v>
      </c>
      <c r="T15" s="78">
        <f t="shared" si="6"/>
        <v>23181.746815200997</v>
      </c>
      <c r="U15" s="78">
        <f t="shared" si="7"/>
        <v>1123.2974358447516</v>
      </c>
      <c r="V15" s="78">
        <f t="shared" si="8"/>
        <v>10299.396093189709</v>
      </c>
      <c r="W15" s="78">
        <f t="shared" si="9"/>
        <v>4213.718729146801</v>
      </c>
      <c r="X15" s="78">
        <f>SUM(P15:W15)</f>
        <v>148345.13243511776</v>
      </c>
      <c r="Y15" s="78">
        <f t="shared" si="10"/>
        <v>115738.09523809524</v>
      </c>
      <c r="Z15" s="78">
        <f t="shared" si="11"/>
        <v>95261.90476190476</v>
      </c>
      <c r="AA15" s="78">
        <f>SUM(X15:Z15)</f>
        <v>359345.13243511773</v>
      </c>
      <c r="AB15" s="78">
        <f t="shared" si="12"/>
        <v>398619.04761904763</v>
      </c>
      <c r="AC15" s="76">
        <f>AA15/AB15</f>
        <v>0.901475066436205</v>
      </c>
      <c r="AD15" s="77"/>
      <c r="AE15" s="78">
        <f>B15-P15</f>
        <v>3383.6515070163514</v>
      </c>
      <c r="AF15" s="51">
        <f>C15-Q15</f>
        <v>-2633.3344553510433</v>
      </c>
      <c r="AG15" s="51">
        <f t="shared" si="15"/>
        <v>-274.2745726261055</v>
      </c>
      <c r="AH15" s="51">
        <f t="shared" si="15"/>
        <v>-4291.395840774701</v>
      </c>
      <c r="AI15" s="51">
        <f t="shared" si="15"/>
        <v>-4097.196815200998</v>
      </c>
      <c r="AJ15" s="51">
        <f t="shared" si="15"/>
        <v>-389.57743584475156</v>
      </c>
      <c r="AK15" s="51">
        <f t="shared" si="15"/>
        <v>-1525.7060931897086</v>
      </c>
      <c r="AL15" s="51">
        <f t="shared" si="15"/>
        <v>1020.4512708531993</v>
      </c>
      <c r="AM15" s="78">
        <f t="shared" si="13"/>
        <v>-8807.382435117757</v>
      </c>
      <c r="AN15" s="78">
        <f t="shared" si="16"/>
        <v>-37589.48523809522</v>
      </c>
      <c r="AO15" s="78">
        <f t="shared" si="16"/>
        <v>32462.095238095237</v>
      </c>
      <c r="AP15" s="78">
        <f t="shared" si="14"/>
        <v>-13934.772435117746</v>
      </c>
      <c r="AQ15" s="78">
        <f t="shared" si="17"/>
        <v>-34818.04761904763</v>
      </c>
      <c r="AR15" s="78">
        <f>AP15/AQ15</f>
        <v>0.40021693885829945</v>
      </c>
    </row>
    <row r="16" spans="1:44" s="60" customFormat="1" ht="12" customHeight="1">
      <c r="A16" s="89">
        <f>'[7]MONTH5'!$A10</f>
        <v>39577</v>
      </c>
      <c r="B16" s="51">
        <f>'[7]MONTH5'!B10</f>
        <v>44322.69</v>
      </c>
      <c r="C16" s="51">
        <f>'[7]MONTH5'!C10</f>
        <v>5768.51</v>
      </c>
      <c r="D16" s="51">
        <f>'[7]MONTH5'!D10</f>
        <v>37116.04</v>
      </c>
      <c r="E16" s="51">
        <f>'[7]MONTH5'!E10</f>
        <v>20472.18</v>
      </c>
      <c r="F16" s="51">
        <f>'[7]MONTH5'!F10</f>
        <v>17081.84</v>
      </c>
      <c r="G16" s="51">
        <f>'[7]MONTH5'!G10</f>
        <v>847.69</v>
      </c>
      <c r="H16" s="51">
        <f>'[7]MONTH5'!H10</f>
        <v>9864.54</v>
      </c>
      <c r="I16" s="51">
        <f>'[7]MONTH5'!I10</f>
        <v>5075.91</v>
      </c>
      <c r="J16" s="78">
        <f t="shared" si="1"/>
        <v>140549.40000000002</v>
      </c>
      <c r="K16" s="52">
        <f>'[7]MONTH5'!J10</f>
        <v>73984.75999999998</v>
      </c>
      <c r="L16" s="52">
        <f>'[7]MONTH5'!K10</f>
        <v>121081</v>
      </c>
      <c r="M16" s="78">
        <f t="shared" si="2"/>
        <v>335615.16000000003</v>
      </c>
      <c r="N16" s="78">
        <f>'[7]MONTH5'!L10</f>
        <v>363149</v>
      </c>
      <c r="O16" s="64">
        <f t="shared" si="18"/>
        <v>0.9241803226774685</v>
      </c>
      <c r="P16" s="78">
        <f>$X$3/$X$5*($P$1/$X$1)</f>
        <v>37407.98849298365</v>
      </c>
      <c r="Q16" s="78">
        <f t="shared" si="3"/>
        <v>9081.854455351044</v>
      </c>
      <c r="R16" s="78">
        <f t="shared" si="4"/>
        <v>40817.634572626106</v>
      </c>
      <c r="S16" s="78">
        <f t="shared" si="5"/>
        <v>22219.4958407747</v>
      </c>
      <c r="T16" s="78">
        <f t="shared" si="6"/>
        <v>23181.746815200997</v>
      </c>
      <c r="U16" s="78">
        <f t="shared" si="7"/>
        <v>1123.2974358447516</v>
      </c>
      <c r="V16" s="78">
        <f t="shared" si="8"/>
        <v>10299.396093189709</v>
      </c>
      <c r="W16" s="78">
        <f t="shared" si="9"/>
        <v>4213.718729146801</v>
      </c>
      <c r="X16" s="78">
        <f>SUM(P16:W16)</f>
        <v>148345.13243511776</v>
      </c>
      <c r="Y16" s="78">
        <f t="shared" si="10"/>
        <v>115738.09523809524</v>
      </c>
      <c r="Z16" s="78">
        <f t="shared" si="11"/>
        <v>95261.90476190476</v>
      </c>
      <c r="AA16" s="78">
        <f>SUM(X16:Z16)</f>
        <v>359345.13243511773</v>
      </c>
      <c r="AB16" s="78">
        <f t="shared" si="12"/>
        <v>398619.04761904763</v>
      </c>
      <c r="AC16" s="76">
        <f>AA16/AB16</f>
        <v>0.901475066436205</v>
      </c>
      <c r="AD16" s="77"/>
      <c r="AE16" s="78">
        <f>B16-P16</f>
        <v>6914.701507016354</v>
      </c>
      <c r="AF16" s="51">
        <f>C16-Q16</f>
        <v>-3313.3444553510435</v>
      </c>
      <c r="AG16" s="51">
        <f t="shared" si="15"/>
        <v>-3701.594572626105</v>
      </c>
      <c r="AH16" s="51">
        <f t="shared" si="15"/>
        <v>-1747.3158407746996</v>
      </c>
      <c r="AI16" s="51">
        <f t="shared" si="15"/>
        <v>-6099.906815200997</v>
      </c>
      <c r="AJ16" s="51">
        <f t="shared" si="15"/>
        <v>-275.60743584475154</v>
      </c>
      <c r="AK16" s="51">
        <f t="shared" si="15"/>
        <v>-434.8560931897082</v>
      </c>
      <c r="AL16" s="51">
        <f t="shared" si="15"/>
        <v>862.1912708531991</v>
      </c>
      <c r="AM16" s="78">
        <f t="shared" si="13"/>
        <v>-7795.732435117751</v>
      </c>
      <c r="AN16" s="78">
        <f t="shared" si="16"/>
        <v>-41753.33523809526</v>
      </c>
      <c r="AO16" s="78">
        <f t="shared" si="16"/>
        <v>25819.095238095237</v>
      </c>
      <c r="AP16" s="78">
        <f t="shared" si="14"/>
        <v>-23729.972435117772</v>
      </c>
      <c r="AQ16" s="78">
        <f t="shared" si="17"/>
        <v>-35470.04761904763</v>
      </c>
      <c r="AR16" s="78"/>
    </row>
    <row r="17" spans="1:44" s="206" customFormat="1" ht="12.75">
      <c r="A17" s="199">
        <f>'[7]MONTH5'!$A11</f>
        <v>39578</v>
      </c>
      <c r="B17" s="200">
        <f>'[7]MONTH5'!B11</f>
        <v>13343.09</v>
      </c>
      <c r="C17" s="200">
        <f>'[7]MONTH5'!C11</f>
        <v>8089.96</v>
      </c>
      <c r="D17" s="200">
        <f>'[7]MONTH5'!D11</f>
        <v>17557.3</v>
      </c>
      <c r="E17" s="200">
        <f>'[7]MONTH5'!E11</f>
        <v>7227.87</v>
      </c>
      <c r="F17" s="200">
        <f>'[7]MONTH5'!F11</f>
        <v>9513.46</v>
      </c>
      <c r="G17" s="200">
        <f>'[7]MONTH5'!G11</f>
        <v>230.92</v>
      </c>
      <c r="H17" s="200">
        <f>'[7]MONTH5'!H11</f>
        <v>1028.48</v>
      </c>
      <c r="I17" s="200">
        <f>'[7]MONTH5'!I11</f>
        <v>1158.51</v>
      </c>
      <c r="J17" s="202">
        <f t="shared" si="1"/>
        <v>58149.590000000004</v>
      </c>
      <c r="K17" s="201">
        <f>'[7]MONTH5'!J11</f>
        <v>19209.680000000008</v>
      </c>
      <c r="L17" s="201">
        <f>'[7]MONTH5'!K11</f>
        <v>45399</v>
      </c>
      <c r="M17" s="202">
        <f t="shared" si="2"/>
        <v>122758.27000000002</v>
      </c>
      <c r="N17" s="202">
        <f>'[7]MONTH5'!L11</f>
        <v>0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</row>
    <row r="18" spans="1:44" s="206" customFormat="1" ht="12.75">
      <c r="A18" s="199">
        <f>'[7]MONTH5'!$A12</f>
        <v>39579</v>
      </c>
      <c r="B18" s="200">
        <f>'[7]MONTH5'!B12</f>
        <v>8751.22</v>
      </c>
      <c r="C18" s="200">
        <f>'[7]MONTH5'!C12</f>
        <v>7914.09</v>
      </c>
      <c r="D18" s="200">
        <f>'[7]MONTH5'!D12</f>
        <v>3039.39</v>
      </c>
      <c r="E18" s="200">
        <f>'[7]MONTH5'!E12</f>
        <v>7125.25</v>
      </c>
      <c r="F18" s="200">
        <f>'[7]MONTH5'!F12</f>
        <v>6827.51</v>
      </c>
      <c r="G18" s="200">
        <f>'[7]MONTH5'!G12</f>
        <v>8.77</v>
      </c>
      <c r="H18" s="200">
        <f>'[7]MONTH5'!H12</f>
        <v>771.4</v>
      </c>
      <c r="I18" s="200">
        <f>'[7]MONTH5'!I12</f>
        <v>0</v>
      </c>
      <c r="J18" s="202">
        <f t="shared" si="1"/>
        <v>34437.63</v>
      </c>
      <c r="K18" s="201">
        <f>'[7]MONTH5'!J12</f>
        <v>26780.690000000017</v>
      </c>
      <c r="L18" s="201">
        <f>'[7]MONTH5'!K12</f>
        <v>0</v>
      </c>
      <c r="M18" s="202">
        <f t="shared" si="2"/>
        <v>61218.320000000014</v>
      </c>
      <c r="N18" s="202">
        <f>'[7]MONTH5'!L12</f>
        <v>0</v>
      </c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 t="e">
        <f>AP18/AQ18</f>
        <v>#DIV/0!</v>
      </c>
    </row>
    <row r="19" spans="1:85" s="95" customFormat="1" ht="12.75">
      <c r="A19" s="89">
        <f>'[7]MONTH5'!$A13</f>
        <v>39580</v>
      </c>
      <c r="B19" s="51">
        <f>'[7]MONTH5'!B13</f>
        <v>34631.84</v>
      </c>
      <c r="C19" s="51">
        <f>'[7]MONTH5'!C13</f>
        <v>7093.45</v>
      </c>
      <c r="D19" s="51">
        <f>'[7]MONTH5'!D13</f>
        <v>45836.19</v>
      </c>
      <c r="E19" s="51">
        <f>'[7]MONTH5'!E13</f>
        <v>25195.46</v>
      </c>
      <c r="F19" s="51">
        <f>'[7]MONTH5'!F13</f>
        <v>18746.76</v>
      </c>
      <c r="G19" s="51">
        <f>'[7]MONTH5'!G13</f>
        <v>1552.2</v>
      </c>
      <c r="H19" s="51">
        <f>'[7]MONTH5'!H13</f>
        <v>10168.44</v>
      </c>
      <c r="I19" s="51">
        <f>'[7]MONTH5'!I13</f>
        <v>3300.68</v>
      </c>
      <c r="J19" s="78">
        <f t="shared" si="1"/>
        <v>146525.02000000002</v>
      </c>
      <c r="K19" s="52">
        <f>'[7]MONTH5'!J13</f>
        <v>76733.97999999995</v>
      </c>
      <c r="L19" s="52">
        <f>'[7]MONTH5'!K13</f>
        <v>132173</v>
      </c>
      <c r="M19" s="78">
        <f t="shared" si="2"/>
        <v>355432</v>
      </c>
      <c r="N19" s="78">
        <f>'[7]MONTH5'!L13</f>
        <v>418336</v>
      </c>
      <c r="O19" s="64">
        <f t="shared" si="18"/>
        <v>0.8496328310257784</v>
      </c>
      <c r="P19" s="78">
        <f>$X$3/$X$5*($P$1/$X$1)</f>
        <v>37407.98849298365</v>
      </c>
      <c r="Q19" s="78">
        <f>$X$3/$X$5*($Q$1/$X$1)</f>
        <v>9081.854455351044</v>
      </c>
      <c r="R19" s="78">
        <f>$X$3/$X$5*($R$1/$X$1)</f>
        <v>40817.634572626106</v>
      </c>
      <c r="S19" s="78">
        <f>$X$3/$X$5*($S$1/$X$1)</f>
        <v>22219.4958407747</v>
      </c>
      <c r="T19" s="78">
        <f>$X$3/$X$5*($T$1/$X$1)</f>
        <v>23181.746815200997</v>
      </c>
      <c r="U19" s="78">
        <f>$X$3/$X$5*($U$1/$X$1)</f>
        <v>1123.2974358447516</v>
      </c>
      <c r="V19" s="78">
        <f>$X$3/$X$5*($V$1/$X$1)</f>
        <v>10299.396093189709</v>
      </c>
      <c r="W19" s="78">
        <f>$X$3/$X$5*($W$1/$X$1)</f>
        <v>4213.718729146801</v>
      </c>
      <c r="X19" s="78">
        <f>SUM(P19:W19)</f>
        <v>148345.13243511776</v>
      </c>
      <c r="Y19" s="78">
        <f>$Y$3/$X$5</f>
        <v>115738.09523809524</v>
      </c>
      <c r="Z19" s="78">
        <f>$Z$3/$X$5</f>
        <v>95261.90476190476</v>
      </c>
      <c r="AA19" s="78">
        <f>SUM(X19:Z19)</f>
        <v>359345.13243511773</v>
      </c>
      <c r="AB19" s="78">
        <f>$AB$3/$X$5</f>
        <v>398619.04761904763</v>
      </c>
      <c r="AC19" s="76">
        <f>AA19/AB19</f>
        <v>0.901475066436205</v>
      </c>
      <c r="AD19" s="77"/>
      <c r="AE19" s="78">
        <f aca="true" t="shared" si="20" ref="AE19:AF23">B19-P19</f>
        <v>-2776.1484929836515</v>
      </c>
      <c r="AF19" s="51">
        <f t="shared" si="20"/>
        <v>-1988.404455351044</v>
      </c>
      <c r="AG19" s="51">
        <f t="shared" si="15"/>
        <v>5018.555427373896</v>
      </c>
      <c r="AH19" s="51">
        <f t="shared" si="15"/>
        <v>2975.964159225299</v>
      </c>
      <c r="AI19" s="51">
        <f t="shared" si="15"/>
        <v>-4434.9868152009985</v>
      </c>
      <c r="AJ19" s="51">
        <f t="shared" si="15"/>
        <v>428.90256415524846</v>
      </c>
      <c r="AK19" s="51">
        <f t="shared" si="15"/>
        <v>-130.95609318970855</v>
      </c>
      <c r="AL19" s="51">
        <f t="shared" si="15"/>
        <v>-913.038729146801</v>
      </c>
      <c r="AM19" s="78">
        <f t="shared" si="13"/>
        <v>-1820.1124351177596</v>
      </c>
      <c r="AN19" s="78">
        <f t="shared" si="16"/>
        <v>-39004.115238095284</v>
      </c>
      <c r="AO19" s="78">
        <f t="shared" si="16"/>
        <v>36911.09523809524</v>
      </c>
      <c r="AP19" s="78">
        <f t="shared" si="14"/>
        <v>-3913.1324351178046</v>
      </c>
      <c r="AQ19" s="78">
        <f t="shared" si="17"/>
        <v>19716.952380952367</v>
      </c>
      <c r="AR19" s="91">
        <f>AP19/AQ19</f>
        <v>-0.19846537941117615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s="95" customFormat="1" ht="12.75">
      <c r="A20" s="89">
        <f>'[7]MONTH5'!$A14</f>
        <v>39581</v>
      </c>
      <c r="B20" s="51">
        <f>'[7]MONTH5'!B14</f>
        <v>38081.12</v>
      </c>
      <c r="C20" s="51">
        <f>'[7]MONTH5'!C14</f>
        <v>5850.58</v>
      </c>
      <c r="D20" s="51">
        <f>'[7]MONTH5'!D14</f>
        <v>44076.9</v>
      </c>
      <c r="E20" s="51">
        <f>'[7]MONTH5'!E14</f>
        <v>20340.85</v>
      </c>
      <c r="F20" s="51">
        <f>'[7]MONTH5'!F14</f>
        <v>22757.51</v>
      </c>
      <c r="G20" s="51">
        <f>'[7]MONTH5'!G14</f>
        <v>1028.91</v>
      </c>
      <c r="H20" s="51">
        <f>'[7]MONTH5'!H14</f>
        <v>10261.9</v>
      </c>
      <c r="I20" s="51">
        <f>'[7]MONTH5'!I14</f>
        <v>3784.18</v>
      </c>
      <c r="J20" s="78">
        <f t="shared" si="1"/>
        <v>146181.95</v>
      </c>
      <c r="K20" s="52">
        <f>'[7]MONTH5'!J14</f>
        <v>63864.17</v>
      </c>
      <c r="L20" s="52">
        <f>'[7]MONTH5'!K14</f>
        <v>130287</v>
      </c>
      <c r="M20" s="78">
        <f t="shared" si="2"/>
        <v>340333.12</v>
      </c>
      <c r="N20" s="78">
        <f>'[7]MONTH5'!L14</f>
        <v>328733</v>
      </c>
      <c r="O20" s="64">
        <f t="shared" si="18"/>
        <v>1.03528736086733</v>
      </c>
      <c r="P20" s="78">
        <f>$X$3/$X$5*($P$1/$X$1)</f>
        <v>37407.98849298365</v>
      </c>
      <c r="Q20" s="78">
        <f>$X$3/$X$5*($Q$1/$X$1)</f>
        <v>9081.854455351044</v>
      </c>
      <c r="R20" s="78">
        <f>$X$3/$X$5*($R$1/$X$1)</f>
        <v>40817.634572626106</v>
      </c>
      <c r="S20" s="78">
        <f>$X$3/$X$5*($S$1/$X$1)</f>
        <v>22219.4958407747</v>
      </c>
      <c r="T20" s="78">
        <f>$X$3/$X$5*($T$1/$X$1)</f>
        <v>23181.746815200997</v>
      </c>
      <c r="U20" s="78">
        <f>$X$3/$X$5*($U$1/$X$1)</f>
        <v>1123.2974358447516</v>
      </c>
      <c r="V20" s="78">
        <f>$X$3/$X$5*($V$1/$X$1)</f>
        <v>10299.396093189709</v>
      </c>
      <c r="W20" s="78">
        <f>$X$3/$X$5*($W$1/$X$1)</f>
        <v>4213.718729146801</v>
      </c>
      <c r="X20" s="78">
        <f>SUM(P20:W20)</f>
        <v>148345.13243511776</v>
      </c>
      <c r="Y20" s="78">
        <f>$Y$3/$X$5</f>
        <v>115738.09523809524</v>
      </c>
      <c r="Z20" s="78">
        <f>$Z$3/$X$5</f>
        <v>95261.90476190476</v>
      </c>
      <c r="AA20" s="78">
        <f>SUM(X20:Z20)</f>
        <v>359345.13243511773</v>
      </c>
      <c r="AB20" s="78">
        <f>$AB$3/$X$5</f>
        <v>398619.04761904763</v>
      </c>
      <c r="AC20" s="76">
        <f>AA20/AB20</f>
        <v>0.901475066436205</v>
      </c>
      <c r="AD20" s="77"/>
      <c r="AE20" s="78">
        <f t="shared" si="20"/>
        <v>673.1315070163546</v>
      </c>
      <c r="AF20" s="51">
        <f t="shared" si="20"/>
        <v>-3231.274455351044</v>
      </c>
      <c r="AG20" s="51">
        <f t="shared" si="15"/>
        <v>3259.2654273738954</v>
      </c>
      <c r="AH20" s="51">
        <f t="shared" si="15"/>
        <v>-1878.6458407747014</v>
      </c>
      <c r="AI20" s="51">
        <f t="shared" si="15"/>
        <v>-424.23681520099854</v>
      </c>
      <c r="AJ20" s="51">
        <f t="shared" si="15"/>
        <v>-94.38743584475151</v>
      </c>
      <c r="AK20" s="51">
        <f t="shared" si="15"/>
        <v>-37.49609318970943</v>
      </c>
      <c r="AL20" s="51">
        <f t="shared" si="15"/>
        <v>-429.53872914680096</v>
      </c>
      <c r="AM20" s="78">
        <f t="shared" si="13"/>
        <v>-2163.1824351177556</v>
      </c>
      <c r="AN20" s="78">
        <f t="shared" si="16"/>
        <v>-51873.92523809524</v>
      </c>
      <c r="AO20" s="78">
        <f t="shared" si="16"/>
        <v>35025.09523809524</v>
      </c>
      <c r="AP20" s="78">
        <f t="shared" si="14"/>
        <v>-19012.01243511776</v>
      </c>
      <c r="AQ20" s="78">
        <f t="shared" si="17"/>
        <v>-69886.04761904763</v>
      </c>
      <c r="AR20" s="91">
        <f>AP20/AQ20</f>
        <v>0.2720430340939181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44" s="60" customFormat="1" ht="12.75">
      <c r="A21" s="89">
        <f>'[7]MONTH5'!$A15</f>
        <v>39582</v>
      </c>
      <c r="B21" s="51">
        <f>'[7]MONTH5'!B15</f>
        <v>37860.59</v>
      </c>
      <c r="C21" s="51">
        <f>'[7]MONTH5'!C15</f>
        <v>7234.03</v>
      </c>
      <c r="D21" s="51">
        <f>'[7]MONTH5'!D15</f>
        <v>38725.98</v>
      </c>
      <c r="E21" s="51">
        <f>'[7]MONTH5'!E15</f>
        <v>21355.66</v>
      </c>
      <c r="F21" s="51">
        <f>'[7]MONTH5'!F15</f>
        <v>21961.15</v>
      </c>
      <c r="G21" s="51">
        <f>'[7]MONTH5'!G15</f>
        <v>792.16</v>
      </c>
      <c r="H21" s="51">
        <f>'[7]MONTH5'!H15</f>
        <v>9833.37</v>
      </c>
      <c r="I21" s="51">
        <f>'[7]MONTH5'!I15</f>
        <v>4425.92</v>
      </c>
      <c r="J21" s="78">
        <f aca="true" t="shared" si="21" ref="J21:J32">SUM(B21:I21)</f>
        <v>142188.86000000002</v>
      </c>
      <c r="K21" s="52">
        <f>'[7]MONTH5'!J15</f>
        <v>81274.43000000008</v>
      </c>
      <c r="L21" s="52">
        <f>'[7]MONTH5'!K15</f>
        <v>125323</v>
      </c>
      <c r="M21" s="78">
        <f aca="true" t="shared" si="22" ref="M21:M32">SUM(J21:L21)</f>
        <v>348786.2900000001</v>
      </c>
      <c r="N21" s="78">
        <f>'[7]MONTH5'!L15</f>
        <v>205000</v>
      </c>
      <c r="O21" s="64">
        <f t="shared" si="18"/>
        <v>1.7013965365853663</v>
      </c>
      <c r="P21" s="78">
        <f>$X$3/$X$5*($P$1/$X$1)</f>
        <v>37407.98849298365</v>
      </c>
      <c r="Q21" s="78">
        <f>$X$3/$X$5*($Q$1/$X$1)</f>
        <v>9081.854455351044</v>
      </c>
      <c r="R21" s="78">
        <f>$X$3/$X$5*($R$1/$X$1)</f>
        <v>40817.634572626106</v>
      </c>
      <c r="S21" s="78">
        <f>$X$3/$X$5*($S$1/$X$1)</f>
        <v>22219.4958407747</v>
      </c>
      <c r="T21" s="78">
        <f>$X$3/$X$5*($T$1/$X$1)</f>
        <v>23181.746815200997</v>
      </c>
      <c r="U21" s="78">
        <f>$X$3/$X$5*($U$1/$X$1)</f>
        <v>1123.2974358447516</v>
      </c>
      <c r="V21" s="78">
        <f>$X$3/$X$5*($V$1/$X$1)</f>
        <v>10299.396093189709</v>
      </c>
      <c r="W21" s="78">
        <f>$X$3/$X$5*($W$1/$X$1)</f>
        <v>4213.718729146801</v>
      </c>
      <c r="X21" s="78">
        <f>SUM(P21:W21)</f>
        <v>148345.13243511776</v>
      </c>
      <c r="Y21" s="78">
        <f>$Y$3/$X$5</f>
        <v>115738.09523809524</v>
      </c>
      <c r="Z21" s="78">
        <f>$Z$3/$X$5</f>
        <v>95261.90476190476</v>
      </c>
      <c r="AA21" s="78">
        <f>SUM(X21:Z21)</f>
        <v>359345.13243511773</v>
      </c>
      <c r="AB21" s="78">
        <f>$AB$3/$X$5</f>
        <v>398619.04761904763</v>
      </c>
      <c r="AC21" s="76">
        <f>AA21/AB21</f>
        <v>0.901475066436205</v>
      </c>
      <c r="AD21" s="77"/>
      <c r="AE21" s="78">
        <f t="shared" si="20"/>
        <v>452.6015070163485</v>
      </c>
      <c r="AF21" s="51">
        <f t="shared" si="20"/>
        <v>-1847.824455351044</v>
      </c>
      <c r="AG21" s="51">
        <f t="shared" si="15"/>
        <v>-2091.654572626103</v>
      </c>
      <c r="AH21" s="51">
        <f t="shared" si="15"/>
        <v>-863.8358407747</v>
      </c>
      <c r="AI21" s="51">
        <f t="shared" si="15"/>
        <v>-1220.5968152009955</v>
      </c>
      <c r="AJ21" s="51">
        <f t="shared" si="15"/>
        <v>-331.1374358447516</v>
      </c>
      <c r="AK21" s="51">
        <f t="shared" si="15"/>
        <v>-466.02609318970826</v>
      </c>
      <c r="AL21" s="51">
        <f t="shared" si="15"/>
        <v>212.20127085319928</v>
      </c>
      <c r="AM21" s="78">
        <f t="shared" si="13"/>
        <v>-6156.272435117755</v>
      </c>
      <c r="AN21" s="78">
        <f t="shared" si="16"/>
        <v>-34463.66523809516</v>
      </c>
      <c r="AO21" s="78">
        <f t="shared" si="16"/>
        <v>30061.095238095237</v>
      </c>
      <c r="AP21" s="78">
        <f t="shared" si="14"/>
        <v>-10558.842435117673</v>
      </c>
      <c r="AQ21" s="78">
        <f t="shared" si="17"/>
        <v>-193619.04761904763</v>
      </c>
      <c r="AR21" s="78">
        <f>AP21/AQ21</f>
        <v>0.054534109969865005</v>
      </c>
    </row>
    <row r="22" spans="1:44" s="60" customFormat="1" ht="12.75">
      <c r="A22" s="89">
        <f>'[7]MONTH5'!$A16</f>
        <v>39583</v>
      </c>
      <c r="B22" s="51">
        <f>'[7]MONTH5'!B16</f>
        <v>39704.16</v>
      </c>
      <c r="C22" s="51">
        <f>'[7]MONTH5'!C16</f>
        <v>5487.18</v>
      </c>
      <c r="D22" s="51">
        <f>'[7]MONTH5'!D16</f>
        <v>29195.24</v>
      </c>
      <c r="E22" s="51">
        <f>'[7]MONTH5'!E16</f>
        <v>16506.48</v>
      </c>
      <c r="F22" s="51">
        <f>'[7]MONTH5'!F16</f>
        <v>21319.56</v>
      </c>
      <c r="G22" s="51">
        <f>'[7]MONTH5'!G16</f>
        <v>914.91</v>
      </c>
      <c r="H22" s="51">
        <f>'[7]MONTH5'!H16</f>
        <v>8423.03</v>
      </c>
      <c r="I22" s="51">
        <f>'[7]MONTH5'!I16</f>
        <v>3609.19</v>
      </c>
      <c r="J22" s="78">
        <f t="shared" si="21"/>
        <v>125159.75</v>
      </c>
      <c r="K22" s="52">
        <f>'[7]MONTH5'!J16</f>
        <v>64354.41999999998</v>
      </c>
      <c r="L22" s="52">
        <f>'[7]MONTH5'!K16</f>
        <v>79869</v>
      </c>
      <c r="M22" s="78">
        <f t="shared" si="22"/>
        <v>269383.17</v>
      </c>
      <c r="N22" s="78">
        <f>'[7]MONTH5'!L16</f>
        <v>351845</v>
      </c>
      <c r="O22" s="64">
        <f t="shared" si="18"/>
        <v>0.7656302349045744</v>
      </c>
      <c r="P22" s="78">
        <f>$X$3/$X$5*($P$1/$X$1)</f>
        <v>37407.98849298365</v>
      </c>
      <c r="Q22" s="78">
        <f>$X$3/$X$5*($Q$1/$X$1)</f>
        <v>9081.854455351044</v>
      </c>
      <c r="R22" s="78">
        <f>$X$3/$X$5*($R$1/$X$1)</f>
        <v>40817.634572626106</v>
      </c>
      <c r="S22" s="78">
        <f>$X$3/$X$5*($S$1/$X$1)</f>
        <v>22219.4958407747</v>
      </c>
      <c r="T22" s="78">
        <f>$X$3/$X$5*($T$1/$X$1)</f>
        <v>23181.746815200997</v>
      </c>
      <c r="U22" s="78">
        <f>$X$3/$X$5*($U$1/$X$1)</f>
        <v>1123.2974358447516</v>
      </c>
      <c r="V22" s="78">
        <f>$X$3/$X$5*($V$1/$X$1)</f>
        <v>10299.396093189709</v>
      </c>
      <c r="W22" s="78">
        <f>$X$3/$X$5*($W$1/$X$1)</f>
        <v>4213.718729146801</v>
      </c>
      <c r="X22" s="78">
        <f>SUM(P22:W22)</f>
        <v>148345.13243511776</v>
      </c>
      <c r="Y22" s="78">
        <f>$Y$3/$X$5</f>
        <v>115738.09523809524</v>
      </c>
      <c r="Z22" s="78">
        <f>$Z$3/$X$5</f>
        <v>95261.90476190476</v>
      </c>
      <c r="AA22" s="78">
        <f>SUM(X22:Z22)</f>
        <v>359345.13243511773</v>
      </c>
      <c r="AB22" s="78">
        <f>$AB$3/$X$5</f>
        <v>398619.04761904763</v>
      </c>
      <c r="AC22" s="76">
        <f>AA22/AB22</f>
        <v>0.901475066436205</v>
      </c>
      <c r="AD22" s="77"/>
      <c r="AE22" s="78">
        <f t="shared" si="20"/>
        <v>2296.1715070163555</v>
      </c>
      <c r="AF22" s="51">
        <f t="shared" si="20"/>
        <v>-3594.6744553510434</v>
      </c>
      <c r="AG22" s="51">
        <f t="shared" si="15"/>
        <v>-11622.394572626104</v>
      </c>
      <c r="AH22" s="51">
        <f t="shared" si="15"/>
        <v>-5713.0158407747</v>
      </c>
      <c r="AI22" s="51">
        <f t="shared" si="15"/>
        <v>-1862.1868152009956</v>
      </c>
      <c r="AJ22" s="51">
        <f t="shared" si="15"/>
        <v>-208.38743584475162</v>
      </c>
      <c r="AK22" s="51">
        <f t="shared" si="15"/>
        <v>-1876.3660931897084</v>
      </c>
      <c r="AL22" s="51">
        <f t="shared" si="15"/>
        <v>-604.5287291468007</v>
      </c>
      <c r="AM22" s="78">
        <f t="shared" si="13"/>
        <v>-23185.38243511775</v>
      </c>
      <c r="AN22" s="78">
        <f t="shared" si="16"/>
        <v>-51383.67523809526</v>
      </c>
      <c r="AO22" s="78">
        <f t="shared" si="16"/>
        <v>-15392.904761904763</v>
      </c>
      <c r="AP22" s="78">
        <f t="shared" si="14"/>
        <v>-89961.96243511778</v>
      </c>
      <c r="AQ22" s="78">
        <f t="shared" si="17"/>
        <v>-46774.04761904763</v>
      </c>
      <c r="AR22" s="78">
        <f>AP22/AQ22</f>
        <v>1.923330714669279</v>
      </c>
    </row>
    <row r="23" spans="1:44" s="60" customFormat="1" ht="12.75">
      <c r="A23" s="89">
        <f>'[7]MONTH5'!$A17</f>
        <v>39584</v>
      </c>
      <c r="B23" s="51">
        <f>'[7]MONTH5'!B17</f>
        <v>34380.51</v>
      </c>
      <c r="C23" s="51">
        <f>'[7]MONTH5'!C17</f>
        <v>6589.24</v>
      </c>
      <c r="D23" s="51">
        <f>'[7]MONTH5'!D17</f>
        <v>41551.34</v>
      </c>
      <c r="E23" s="51">
        <f>'[7]MONTH5'!E17</f>
        <v>21988.69</v>
      </c>
      <c r="F23" s="51">
        <f>'[7]MONTH5'!F17</f>
        <v>20462.02</v>
      </c>
      <c r="G23" s="51">
        <f>'[7]MONTH5'!G17</f>
        <v>944.18</v>
      </c>
      <c r="H23" s="51">
        <f>'[7]MONTH5'!H17</f>
        <v>8352.95</v>
      </c>
      <c r="I23" s="51">
        <f>'[7]MONTH5'!I17</f>
        <v>3642.3</v>
      </c>
      <c r="J23" s="78">
        <f t="shared" si="21"/>
        <v>137911.22999999998</v>
      </c>
      <c r="K23" s="52">
        <f>'[7]MONTH5'!J17</f>
        <v>61240.52000000003</v>
      </c>
      <c r="L23" s="52">
        <f>'[7]MONTH5'!K17</f>
        <v>118598</v>
      </c>
      <c r="M23" s="78">
        <f t="shared" si="22"/>
        <v>317749.75</v>
      </c>
      <c r="N23" s="78">
        <f>'[7]MONTH5'!L17</f>
        <v>367140</v>
      </c>
      <c r="O23" s="64">
        <f t="shared" si="18"/>
        <v>0.8654729803344773</v>
      </c>
      <c r="P23" s="78">
        <f>$X$3/$X$5*($P$1/$X$1)</f>
        <v>37407.98849298365</v>
      </c>
      <c r="Q23" s="78">
        <f>$X$3/$X$5*($Q$1/$X$1)</f>
        <v>9081.854455351044</v>
      </c>
      <c r="R23" s="78">
        <f>$X$3/$X$5*($R$1/$X$1)</f>
        <v>40817.634572626106</v>
      </c>
      <c r="S23" s="78">
        <f>$X$3/$X$5*($S$1/$X$1)</f>
        <v>22219.4958407747</v>
      </c>
      <c r="T23" s="78">
        <f>$X$3/$X$5*($T$1/$X$1)</f>
        <v>23181.746815200997</v>
      </c>
      <c r="U23" s="78">
        <f>$X$3/$X$5*($U$1/$X$1)</f>
        <v>1123.2974358447516</v>
      </c>
      <c r="V23" s="78">
        <f>$X$3/$X$5*($V$1/$X$1)</f>
        <v>10299.396093189709</v>
      </c>
      <c r="W23" s="78">
        <f>$X$3/$X$5*($W$1/$X$1)</f>
        <v>4213.718729146801</v>
      </c>
      <c r="X23" s="78">
        <f>SUM(P23:W23)</f>
        <v>148345.13243511776</v>
      </c>
      <c r="Y23" s="78">
        <f>$Y$3/$X$5</f>
        <v>115738.09523809524</v>
      </c>
      <c r="Z23" s="78">
        <f>$Z$3/$X$5</f>
        <v>95261.90476190476</v>
      </c>
      <c r="AA23" s="78">
        <f>SUM(X23:Z23)</f>
        <v>359345.13243511773</v>
      </c>
      <c r="AB23" s="78">
        <f>$AB$3/$X$5</f>
        <v>398619.04761904763</v>
      </c>
      <c r="AC23" s="76">
        <f>AA23/AB23</f>
        <v>0.901475066436205</v>
      </c>
      <c r="AD23" s="77"/>
      <c r="AE23" s="78">
        <f t="shared" si="20"/>
        <v>-3027.478492983646</v>
      </c>
      <c r="AF23" s="51">
        <f t="shared" si="20"/>
        <v>-2492.614455351044</v>
      </c>
      <c r="AG23" s="51">
        <f t="shared" si="15"/>
        <v>733.7054273738904</v>
      </c>
      <c r="AH23" s="51">
        <f t="shared" si="15"/>
        <v>-230.8058407747012</v>
      </c>
      <c r="AI23" s="51">
        <f t="shared" si="15"/>
        <v>-2719.7268152009965</v>
      </c>
      <c r="AJ23" s="51">
        <f t="shared" si="15"/>
        <v>-179.11743584475164</v>
      </c>
      <c r="AK23" s="51">
        <f t="shared" si="15"/>
        <v>-1946.4460931897083</v>
      </c>
      <c r="AL23" s="51">
        <f t="shared" si="15"/>
        <v>-571.4187291468006</v>
      </c>
      <c r="AM23" s="78">
        <f aca="true" t="shared" si="23" ref="AM23:AM37">SUM(AE23:AL23)</f>
        <v>-10433.902435117758</v>
      </c>
      <c r="AN23" s="78">
        <f t="shared" si="16"/>
        <v>-54497.5752380952</v>
      </c>
      <c r="AO23" s="78">
        <f t="shared" si="16"/>
        <v>23336.095238095237</v>
      </c>
      <c r="AP23" s="78">
        <f t="shared" si="14"/>
        <v>-41595.382435117725</v>
      </c>
      <c r="AQ23" s="78">
        <f t="shared" si="17"/>
        <v>-31479.047619047633</v>
      </c>
      <c r="AR23" s="78"/>
    </row>
    <row r="24" spans="1:44" s="206" customFormat="1" ht="12.75">
      <c r="A24" s="199">
        <f>'[7]MONTH5'!$A18</f>
        <v>39585</v>
      </c>
      <c r="B24" s="200">
        <f>'[7]MONTH5'!B18</f>
        <v>17233.28</v>
      </c>
      <c r="C24" s="200">
        <f>'[7]MONTH5'!C18</f>
        <v>6413.37</v>
      </c>
      <c r="D24" s="200">
        <f>'[7]MONTH5'!D18</f>
        <v>20277.12</v>
      </c>
      <c r="E24" s="200">
        <f>'[7]MONTH5'!E18</f>
        <v>8678.03</v>
      </c>
      <c r="F24" s="200">
        <f>'[7]MONTH5'!F18</f>
        <v>9048.07</v>
      </c>
      <c r="G24" s="200">
        <f>'[7]MONTH5'!G18</f>
        <v>479.39</v>
      </c>
      <c r="H24" s="200">
        <f>'[7]MONTH5'!H18</f>
        <v>4830.98</v>
      </c>
      <c r="I24" s="200">
        <f>'[7]MONTH5'!I18</f>
        <v>1942.03</v>
      </c>
      <c r="J24" s="202">
        <f t="shared" si="21"/>
        <v>68902.26999999999</v>
      </c>
      <c r="K24" s="201">
        <f>'[7]MONTH5'!J18</f>
        <v>28932.439999999977</v>
      </c>
      <c r="L24" s="201">
        <f>'[7]MONTH5'!K18</f>
        <v>48040</v>
      </c>
      <c r="M24" s="202">
        <f t="shared" si="22"/>
        <v>145874.70999999996</v>
      </c>
      <c r="N24" s="202">
        <f>'[7]MONTH5'!L18</f>
        <v>-4852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</row>
    <row r="25" spans="1:44" s="206" customFormat="1" ht="12.75">
      <c r="A25" s="199">
        <f>'[7]MONTH5'!$A19</f>
        <v>39586</v>
      </c>
      <c r="B25" s="200">
        <f>'[7]MONTH5'!B19</f>
        <v>8231.77</v>
      </c>
      <c r="C25" s="200">
        <f>'[7]MONTH5'!C19</f>
        <v>7409.91</v>
      </c>
      <c r="D25" s="200">
        <f>'[7]MONTH5'!D19</f>
        <v>13108.26</v>
      </c>
      <c r="E25" s="200">
        <f>'[7]MONTH5'!E19</f>
        <v>6099.24</v>
      </c>
      <c r="F25" s="200">
        <f>'[7]MONTH5'!F19</f>
        <v>11416.36</v>
      </c>
      <c r="G25" s="200">
        <f>'[7]MONTH5'!G19</f>
        <v>190.01</v>
      </c>
      <c r="H25" s="200">
        <f>'[7]MONTH5'!H19</f>
        <v>218.17</v>
      </c>
      <c r="I25" s="200">
        <f>'[7]MONTH5'!I19</f>
        <v>0</v>
      </c>
      <c r="J25" s="202">
        <f t="shared" si="21"/>
        <v>46673.72</v>
      </c>
      <c r="K25" s="201">
        <f>'[7]MONTH5'!J19</f>
        <v>24836.96999999999</v>
      </c>
      <c r="L25" s="201">
        <f>'[7]MONTH5'!K19</f>
        <v>31846</v>
      </c>
      <c r="M25" s="202">
        <f t="shared" si="22"/>
        <v>103356.68999999999</v>
      </c>
      <c r="N25" s="202">
        <f>'[7]MONTH5'!L19</f>
        <v>0</v>
      </c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 t="e">
        <f>AP25/AQ25</f>
        <v>#DIV/0!</v>
      </c>
    </row>
    <row r="26" spans="1:85" s="95" customFormat="1" ht="12.75">
      <c r="A26" s="89">
        <f>'[7]MONTH5'!$A20</f>
        <v>39587</v>
      </c>
      <c r="B26" s="51">
        <f>'[7]MONTH5'!B20</f>
        <v>34260.17</v>
      </c>
      <c r="C26" s="51">
        <f>'[7]MONTH5'!C20</f>
        <v>8582.35</v>
      </c>
      <c r="D26" s="51">
        <f>'[7]MONTH5'!D20</f>
        <v>44389.68</v>
      </c>
      <c r="E26" s="51">
        <f>'[7]MONTH5'!E20</f>
        <v>22979.12</v>
      </c>
      <c r="F26" s="51">
        <f>'[7]MONTH5'!F20</f>
        <v>20011.9</v>
      </c>
      <c r="G26" s="51">
        <f>'[7]MONTH5'!G20</f>
        <v>879.85</v>
      </c>
      <c r="H26" s="51">
        <f>'[7]MONTH5'!H20</f>
        <v>9015.23</v>
      </c>
      <c r="I26" s="51">
        <f>'[7]MONTH5'!I20</f>
        <v>4700.83</v>
      </c>
      <c r="J26" s="78">
        <f t="shared" si="21"/>
        <v>144819.13</v>
      </c>
      <c r="K26" s="52">
        <f>'[7]MONTH5'!J20</f>
        <v>84879.74000000002</v>
      </c>
      <c r="L26" s="52">
        <f>'[7]MONTH5'!K20</f>
        <v>147423</v>
      </c>
      <c r="M26" s="78">
        <f t="shared" si="22"/>
        <v>377121.87</v>
      </c>
      <c r="N26" s="78">
        <f>'[7]MONTH5'!L20</f>
        <v>361736</v>
      </c>
      <c r="O26" s="64">
        <f t="shared" si="18"/>
        <v>1.0425334221642302</v>
      </c>
      <c r="P26" s="78">
        <f>$X$3/$X$5*($P$1/$X$1)</f>
        <v>37407.98849298365</v>
      </c>
      <c r="Q26" s="78">
        <f>$X$3/$X$5*($Q$1/$X$1)</f>
        <v>9081.854455351044</v>
      </c>
      <c r="R26" s="78">
        <f>$X$3/$X$5*($R$1/$X$1)</f>
        <v>40817.634572626106</v>
      </c>
      <c r="S26" s="78">
        <f>$X$3/$X$5*($S$1/$X$1)</f>
        <v>22219.4958407747</v>
      </c>
      <c r="T26" s="78">
        <f>$X$3/$X$5*($T$1/$X$1)</f>
        <v>23181.746815200997</v>
      </c>
      <c r="U26" s="78">
        <f>$X$3/$X$5*($U$1/$X$1)</f>
        <v>1123.2974358447516</v>
      </c>
      <c r="V26" s="78">
        <f>$X$3/$X$5*($V$1/$X$1)</f>
        <v>10299.396093189709</v>
      </c>
      <c r="W26" s="78">
        <f>$X$3/$X$5*($W$1/$X$1)</f>
        <v>4213.718729146801</v>
      </c>
      <c r="X26" s="78">
        <f>SUM(P26:W26)</f>
        <v>148345.13243511776</v>
      </c>
      <c r="Y26" s="78">
        <f>$Y$3/$X$5</f>
        <v>115738.09523809524</v>
      </c>
      <c r="Z26" s="78">
        <f>$Z$3/$X$5</f>
        <v>95261.90476190476</v>
      </c>
      <c r="AA26" s="78">
        <f>SUM(X26:Z26)</f>
        <v>359345.13243511773</v>
      </c>
      <c r="AB26" s="78">
        <f>$AB$3/$X$5</f>
        <v>398619.04761904763</v>
      </c>
      <c r="AC26" s="76">
        <f>AA26/AB26</f>
        <v>0.901475066436205</v>
      </c>
      <c r="AD26" s="77"/>
      <c r="AE26" s="78">
        <f aca="true" t="shared" si="24" ref="AE26:AL30">B26-P26</f>
        <v>-3147.81849298365</v>
      </c>
      <c r="AF26" s="51">
        <f t="shared" si="24"/>
        <v>-499.50445535104336</v>
      </c>
      <c r="AG26" s="51">
        <f t="shared" si="24"/>
        <v>3572.045427373894</v>
      </c>
      <c r="AH26" s="51">
        <f t="shared" si="24"/>
        <v>759.6241592252991</v>
      </c>
      <c r="AI26" s="51">
        <f t="shared" si="24"/>
        <v>-3169.8468152009955</v>
      </c>
      <c r="AJ26" s="51">
        <f t="shared" si="24"/>
        <v>-243.44743584475157</v>
      </c>
      <c r="AK26" s="51">
        <f t="shared" si="24"/>
        <v>-1284.1660931897095</v>
      </c>
      <c r="AL26" s="51">
        <f t="shared" si="24"/>
        <v>487.11127085319913</v>
      </c>
      <c r="AM26" s="78">
        <f t="shared" si="23"/>
        <v>-3526.002435117757</v>
      </c>
      <c r="AN26" s="78">
        <f t="shared" si="16"/>
        <v>-30858.355238095217</v>
      </c>
      <c r="AO26" s="78">
        <f t="shared" si="16"/>
        <v>52161.09523809524</v>
      </c>
      <c r="AP26" s="78">
        <f t="shared" si="14"/>
        <v>17776.737564882264</v>
      </c>
      <c r="AQ26" s="78">
        <f t="shared" si="17"/>
        <v>-36883.04761904763</v>
      </c>
      <c r="AR26" s="91">
        <f>AP26/AQ26</f>
        <v>-0.48197583205412137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s="95" customFormat="1" ht="12.75">
      <c r="A27" s="89">
        <f>'[7]MONTH5'!$A21</f>
        <v>39588</v>
      </c>
      <c r="B27" s="51">
        <f>'[7]MONTH5'!B21</f>
        <v>40644.98</v>
      </c>
      <c r="C27" s="51">
        <f>'[7]MONTH5'!C21</f>
        <v>7620.96</v>
      </c>
      <c r="D27" s="51">
        <f>'[7]MONTH5'!D21</f>
        <v>41845.7</v>
      </c>
      <c r="E27" s="51">
        <f>'[7]MONTH5'!E21</f>
        <v>25424.49</v>
      </c>
      <c r="F27" s="51">
        <f>'[7]MONTH5'!F21</f>
        <v>19819.68</v>
      </c>
      <c r="G27" s="51">
        <f>'[7]MONTH5'!G21</f>
        <v>1362.18</v>
      </c>
      <c r="H27" s="51">
        <f>'[7]MONTH5'!H21</f>
        <v>7207.51</v>
      </c>
      <c r="I27" s="51">
        <f>'[7]MONTH5'!I21</f>
        <v>3425.58</v>
      </c>
      <c r="J27" s="78">
        <f t="shared" si="21"/>
        <v>147351.08</v>
      </c>
      <c r="K27" s="52">
        <f>'[7]MONTH5'!J21</f>
        <v>67451.75000000003</v>
      </c>
      <c r="L27" s="52">
        <f>'[7]MONTH5'!K21</f>
        <v>122921</v>
      </c>
      <c r="M27" s="78">
        <f t="shared" si="22"/>
        <v>337723.83</v>
      </c>
      <c r="N27" s="78">
        <f>'[7]MONTH5'!L21</f>
        <v>357596</v>
      </c>
      <c r="O27" s="64">
        <f t="shared" si="18"/>
        <v>0.9444284332039509</v>
      </c>
      <c r="P27" s="78">
        <f>$X$3/$X$5*($P$1/$X$1)</f>
        <v>37407.98849298365</v>
      </c>
      <c r="Q27" s="78">
        <f>$X$3/$X$5*($Q$1/$X$1)</f>
        <v>9081.854455351044</v>
      </c>
      <c r="R27" s="78">
        <f>$X$3/$X$5*($R$1/$X$1)</f>
        <v>40817.634572626106</v>
      </c>
      <c r="S27" s="78">
        <f>$X$3/$X$5*($S$1/$X$1)</f>
        <v>22219.4958407747</v>
      </c>
      <c r="T27" s="78">
        <f>$X$3/$X$5*($T$1/$X$1)</f>
        <v>23181.746815200997</v>
      </c>
      <c r="U27" s="78">
        <f>$X$3/$X$5*($U$1/$X$1)</f>
        <v>1123.2974358447516</v>
      </c>
      <c r="V27" s="78">
        <f>$X$3/$X$5*($V$1/$X$1)</f>
        <v>10299.396093189709</v>
      </c>
      <c r="W27" s="78">
        <f>$X$3/$X$5*($W$1/$X$1)</f>
        <v>4213.718729146801</v>
      </c>
      <c r="X27" s="78">
        <f>SUM(P27:W27)</f>
        <v>148345.13243511776</v>
      </c>
      <c r="Y27" s="78">
        <f>$Y$3/$X$5</f>
        <v>115738.09523809524</v>
      </c>
      <c r="Z27" s="78">
        <f>$Z$3/$X$5</f>
        <v>95261.90476190476</v>
      </c>
      <c r="AA27" s="78">
        <f>SUM(X27:Z27)</f>
        <v>359345.13243511773</v>
      </c>
      <c r="AB27" s="78">
        <f>$AB$3/$X$5</f>
        <v>398619.04761904763</v>
      </c>
      <c r="AC27" s="76">
        <f>AA27/AB27</f>
        <v>0.901475066436205</v>
      </c>
      <c r="AD27" s="77"/>
      <c r="AE27" s="78">
        <f t="shared" si="24"/>
        <v>3236.991507016355</v>
      </c>
      <c r="AF27" s="51">
        <f t="shared" si="24"/>
        <v>-1460.8944553510437</v>
      </c>
      <c r="AG27" s="51">
        <f t="shared" si="24"/>
        <v>1028.065427373891</v>
      </c>
      <c r="AH27" s="51">
        <f t="shared" si="24"/>
        <v>3204.9941592253017</v>
      </c>
      <c r="AI27" s="51">
        <f t="shared" si="24"/>
        <v>-3362.0668152009966</v>
      </c>
      <c r="AJ27" s="51">
        <f t="shared" si="24"/>
        <v>238.88256415524847</v>
      </c>
      <c r="AK27" s="51">
        <f t="shared" si="24"/>
        <v>-3091.886093189709</v>
      </c>
      <c r="AL27" s="51">
        <f t="shared" si="24"/>
        <v>-788.1387291468009</v>
      </c>
      <c r="AM27" s="78">
        <f t="shared" si="23"/>
        <v>-994.0524351177537</v>
      </c>
      <c r="AN27" s="78">
        <f t="shared" si="16"/>
        <v>-48286.34523809521</v>
      </c>
      <c r="AO27" s="78">
        <f t="shared" si="16"/>
        <v>27659.095238095237</v>
      </c>
      <c r="AP27" s="78">
        <f t="shared" si="14"/>
        <v>-21621.302435117723</v>
      </c>
      <c r="AQ27" s="78">
        <f>N27-AB30</f>
        <v>-41023.04761904763</v>
      </c>
      <c r="AR27" s="91">
        <f>AP27/AQ27</f>
        <v>0.5270525641073682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44" s="60" customFormat="1" ht="12.75">
      <c r="A28" s="89">
        <f>'[7]MONTH5'!$A22</f>
        <v>39589</v>
      </c>
      <c r="B28" s="51">
        <f>'[7]MONTH5'!B22</f>
        <v>39456.17</v>
      </c>
      <c r="C28" s="51">
        <f>'[7]MONTH5'!C22</f>
        <v>5932.62</v>
      </c>
      <c r="D28" s="51">
        <f>'[7]MONTH5'!D22</f>
        <v>45940.4</v>
      </c>
      <c r="E28" s="51">
        <f>'[7]MONTH5'!E22</f>
        <v>18455.21</v>
      </c>
      <c r="F28" s="51">
        <f>'[7]MONTH5'!F22</f>
        <v>24020.13</v>
      </c>
      <c r="G28" s="51">
        <f>'[7]MONTH5'!G22</f>
        <v>914.93</v>
      </c>
      <c r="H28" s="51">
        <f>'[7]MONTH5'!H22</f>
        <v>11064.57</v>
      </c>
      <c r="I28" s="51">
        <f>'[7]MONTH5'!I22</f>
        <v>3684.05</v>
      </c>
      <c r="J28" s="78">
        <f t="shared" si="21"/>
        <v>149468.08</v>
      </c>
      <c r="K28" s="52">
        <f>'[7]MONTH5'!J22</f>
        <v>68096.65999999995</v>
      </c>
      <c r="L28" s="52">
        <f>'[7]MONTH5'!K22</f>
        <v>131809</v>
      </c>
      <c r="M28" s="78">
        <f t="shared" si="22"/>
        <v>349373.73999999993</v>
      </c>
      <c r="N28" s="78">
        <f>'[7]MONTH5'!L22</f>
        <v>106965</v>
      </c>
      <c r="O28" s="64">
        <f t="shared" si="18"/>
        <v>3.2662435376057584</v>
      </c>
      <c r="P28" s="78">
        <f>$X$3/$X$5*($P$1/$X$1)</f>
        <v>37407.98849298365</v>
      </c>
      <c r="Q28" s="78">
        <f>$X$3/$X$5*($Q$1/$X$1)</f>
        <v>9081.854455351044</v>
      </c>
      <c r="R28" s="78">
        <f>$X$3/$X$5*($R$1/$X$1)</f>
        <v>40817.634572626106</v>
      </c>
      <c r="S28" s="78">
        <f>$X$3/$X$5*($S$1/$X$1)</f>
        <v>22219.4958407747</v>
      </c>
      <c r="T28" s="78">
        <f>$X$3/$X$5*($T$1/$X$1)</f>
        <v>23181.746815200997</v>
      </c>
      <c r="U28" s="78">
        <f>$X$3/$X$5*($U$1/$X$1)</f>
        <v>1123.2974358447516</v>
      </c>
      <c r="V28" s="78">
        <f>$X$3/$X$5*($V$1/$X$1)</f>
        <v>10299.396093189709</v>
      </c>
      <c r="W28" s="78">
        <f>$X$3/$X$5*($W$1/$X$1)</f>
        <v>4213.718729146801</v>
      </c>
      <c r="X28" s="78">
        <f>SUM(P28:W28)</f>
        <v>148345.13243511776</v>
      </c>
      <c r="Y28" s="78">
        <f>$Y$3/$X$5</f>
        <v>115738.09523809524</v>
      </c>
      <c r="Z28" s="78">
        <f>$Z$3/$X$5</f>
        <v>95261.90476190476</v>
      </c>
      <c r="AA28" s="78">
        <f>SUM(X28:Z28)</f>
        <v>359345.13243511773</v>
      </c>
      <c r="AB28" s="78">
        <f>$AB$3/$X$5</f>
        <v>398619.04761904763</v>
      </c>
      <c r="AC28" s="76">
        <f>AA28/AB28</f>
        <v>0.901475066436205</v>
      </c>
      <c r="AD28" s="77"/>
      <c r="AE28" s="78">
        <f t="shared" si="24"/>
        <v>2048.18150701635</v>
      </c>
      <c r="AF28" s="51">
        <f t="shared" si="24"/>
        <v>-3149.234455351044</v>
      </c>
      <c r="AG28" s="51">
        <f t="shared" si="24"/>
        <v>5122.765427373895</v>
      </c>
      <c r="AH28" s="51">
        <f t="shared" si="24"/>
        <v>-3764.285840774701</v>
      </c>
      <c r="AI28" s="51">
        <f t="shared" si="24"/>
        <v>838.3831847990041</v>
      </c>
      <c r="AJ28" s="51">
        <f t="shared" si="24"/>
        <v>-208.36743584475164</v>
      </c>
      <c r="AK28" s="51">
        <f t="shared" si="24"/>
        <v>765.1739068102906</v>
      </c>
      <c r="AL28" s="51">
        <f t="shared" si="24"/>
        <v>-529.6687291468006</v>
      </c>
      <c r="AM28" s="78">
        <f t="shared" si="23"/>
        <v>1122.9475648822436</v>
      </c>
      <c r="AN28" s="78">
        <f t="shared" si="16"/>
        <v>-47641.43523809529</v>
      </c>
      <c r="AO28" s="78">
        <f t="shared" si="16"/>
        <v>36547.09523809524</v>
      </c>
      <c r="AP28" s="78">
        <f t="shared" si="14"/>
        <v>-9971.392435117814</v>
      </c>
      <c r="AQ28" s="78">
        <f t="shared" si="17"/>
        <v>-291654.04761904763</v>
      </c>
      <c r="AR28" s="78">
        <f>AP28/AQ28</f>
        <v>0.03418911040844609</v>
      </c>
    </row>
    <row r="29" spans="1:44" s="60" customFormat="1" ht="12.75">
      <c r="A29" s="89">
        <f>'[7]MONTH5'!$A23</f>
        <v>39590</v>
      </c>
      <c r="B29" s="51">
        <f>'[7]MONTH5'!B23</f>
        <v>43612.53</v>
      </c>
      <c r="C29" s="51">
        <f>'[7]MONTH5'!C23</f>
        <v>5956.12</v>
      </c>
      <c r="D29" s="51">
        <f>'[7]MONTH5'!D23</f>
        <v>39992.06</v>
      </c>
      <c r="E29" s="51">
        <f>'[7]MONTH5'!E23</f>
        <v>20035.11</v>
      </c>
      <c r="F29" s="51">
        <f>'[7]MONTH5'!F23</f>
        <v>26838.19</v>
      </c>
      <c r="G29" s="51">
        <f>'[7]MONTH5'!G23</f>
        <v>982.15</v>
      </c>
      <c r="H29" s="51">
        <f>'[7]MONTH5'!H23</f>
        <v>10269.67</v>
      </c>
      <c r="I29" s="51">
        <f>'[7]MONTH5'!I23</f>
        <v>4117.46</v>
      </c>
      <c r="J29" s="78">
        <f t="shared" si="21"/>
        <v>151803.28999999998</v>
      </c>
      <c r="K29" s="52">
        <f>'[7]MONTH5'!J23</f>
        <v>80843.12999999998</v>
      </c>
      <c r="L29" s="52">
        <f>'[7]MONTH5'!K23</f>
        <v>127148</v>
      </c>
      <c r="M29" s="78">
        <f t="shared" si="22"/>
        <v>359794.4199999999</v>
      </c>
      <c r="N29" s="78">
        <f>'[7]MONTH5'!L23</f>
        <v>105793</v>
      </c>
      <c r="O29" s="64">
        <f t="shared" si="18"/>
        <v>3.4009284168139664</v>
      </c>
      <c r="P29" s="78">
        <f>$X$3/$X$5*($P$1/$X$1)</f>
        <v>37407.98849298365</v>
      </c>
      <c r="Q29" s="78">
        <f>$X$3/$X$5*($Q$1/$X$1)</f>
        <v>9081.854455351044</v>
      </c>
      <c r="R29" s="78">
        <f>$X$3/$X$5*($R$1/$X$1)</f>
        <v>40817.634572626106</v>
      </c>
      <c r="S29" s="78">
        <f>$X$3/$X$5*($S$1/$X$1)</f>
        <v>22219.4958407747</v>
      </c>
      <c r="T29" s="78">
        <f>$X$3/$X$5*($T$1/$X$1)</f>
        <v>23181.746815200997</v>
      </c>
      <c r="U29" s="78">
        <f>$X$3/$X$5*($U$1/$X$1)</f>
        <v>1123.2974358447516</v>
      </c>
      <c r="V29" s="78">
        <f>$X$3/$X$5*($V$1/$X$1)</f>
        <v>10299.396093189709</v>
      </c>
      <c r="W29" s="78">
        <f>$X$3/$X$5*($W$1/$X$1)</f>
        <v>4213.718729146801</v>
      </c>
      <c r="X29" s="78">
        <f>SUM(P29:W29)</f>
        <v>148345.13243511776</v>
      </c>
      <c r="Y29" s="78">
        <f>$Y$3/$X$5</f>
        <v>115738.09523809524</v>
      </c>
      <c r="Z29" s="78">
        <f>$Z$3/$X$5</f>
        <v>95261.90476190476</v>
      </c>
      <c r="AA29" s="78">
        <f>SUM(X29:Z29)</f>
        <v>359345.13243511773</v>
      </c>
      <c r="AB29" s="78">
        <f>$AB$3/$X$5</f>
        <v>398619.04761904763</v>
      </c>
      <c r="AC29" s="76">
        <f>AA29/AB29</f>
        <v>0.901475066436205</v>
      </c>
      <c r="AD29" s="77"/>
      <c r="AE29" s="78">
        <f t="shared" si="24"/>
        <v>6204.541507016351</v>
      </c>
      <c r="AF29" s="51">
        <f t="shared" si="24"/>
        <v>-3125.734455351044</v>
      </c>
      <c r="AG29" s="51">
        <f t="shared" si="24"/>
        <v>-825.5745726261084</v>
      </c>
      <c r="AH29" s="51">
        <f t="shared" si="24"/>
        <v>-2184.3858407746993</v>
      </c>
      <c r="AI29" s="51">
        <f t="shared" si="24"/>
        <v>3656.4431847990018</v>
      </c>
      <c r="AJ29" s="51">
        <f t="shared" si="24"/>
        <v>-141.1474358447516</v>
      </c>
      <c r="AK29" s="51">
        <f t="shared" si="24"/>
        <v>-29.72609318970899</v>
      </c>
      <c r="AL29" s="51">
        <f t="shared" si="24"/>
        <v>-96.25872914680076</v>
      </c>
      <c r="AM29" s="78">
        <f t="shared" si="23"/>
        <v>3458.1575648822395</v>
      </c>
      <c r="AN29" s="78">
        <f t="shared" si="16"/>
        <v>-34894.96523809526</v>
      </c>
      <c r="AO29" s="78">
        <f t="shared" si="16"/>
        <v>31886.095238095237</v>
      </c>
      <c r="AP29" s="78">
        <f t="shared" si="14"/>
        <v>449.2875648822155</v>
      </c>
      <c r="AQ29" s="78">
        <f t="shared" si="17"/>
        <v>-292826.04761904763</v>
      </c>
      <c r="AR29" s="78"/>
    </row>
    <row r="30" spans="1:44" s="60" customFormat="1" ht="12.75">
      <c r="A30" s="89">
        <f>'[7]MONTH5'!$A24</f>
        <v>39591</v>
      </c>
      <c r="B30" s="51">
        <f>'[7]MONTH5'!B24</f>
        <v>37769.59</v>
      </c>
      <c r="C30" s="51">
        <f>'[7]MONTH5'!C24</f>
        <v>6483.77</v>
      </c>
      <c r="D30" s="51">
        <f>'[7]MONTH5'!D24</f>
        <v>30810.74</v>
      </c>
      <c r="E30" s="51">
        <f>'[7]MONTH5'!E24</f>
        <v>20023.81</v>
      </c>
      <c r="F30" s="51">
        <f>'[7]MONTH5'!F24</f>
        <v>22067.76</v>
      </c>
      <c r="G30" s="51">
        <f>'[7]MONTH5'!G24</f>
        <v>1292.03</v>
      </c>
      <c r="H30" s="51">
        <f>'[7]MONTH5'!H24</f>
        <v>6724.43</v>
      </c>
      <c r="I30" s="51">
        <f>'[7]MONTH5'!I24</f>
        <v>3484.11</v>
      </c>
      <c r="J30" s="78">
        <f t="shared" si="21"/>
        <v>128656.24</v>
      </c>
      <c r="K30" s="52">
        <f>'[7]MONTH5'!J24</f>
        <v>75269.71000000002</v>
      </c>
      <c r="L30" s="52">
        <f>'[7]MONTH5'!K24</f>
        <v>97945</v>
      </c>
      <c r="M30" s="78">
        <f t="shared" si="22"/>
        <v>301870.95</v>
      </c>
      <c r="N30" s="78">
        <f>'[7]MONTH5'!L24</f>
        <v>148501</v>
      </c>
      <c r="O30" s="64">
        <f t="shared" si="18"/>
        <v>2.0327873212974996</v>
      </c>
      <c r="P30" s="78">
        <f>$X$3/$X$5*($P$1/$X$1)</f>
        <v>37407.98849298365</v>
      </c>
      <c r="Q30" s="78">
        <f>$X$3/$X$5*($Q$1/$X$1)</f>
        <v>9081.854455351044</v>
      </c>
      <c r="R30" s="78">
        <f>$X$3/$X$5*($R$1/$X$1)</f>
        <v>40817.634572626106</v>
      </c>
      <c r="S30" s="78">
        <f>$X$3/$X$5*($S$1/$X$1)</f>
        <v>22219.4958407747</v>
      </c>
      <c r="T30" s="78">
        <f>$X$3/$X$5*($T$1/$X$1)</f>
        <v>23181.746815200997</v>
      </c>
      <c r="U30" s="78">
        <f>$X$3/$X$5*($U$1/$X$1)</f>
        <v>1123.2974358447516</v>
      </c>
      <c r="V30" s="78">
        <f>$X$3/$X$5*($V$1/$X$1)</f>
        <v>10299.396093189709</v>
      </c>
      <c r="W30" s="78">
        <f>$X$3/$X$5*($W$1/$X$1)</f>
        <v>4213.718729146801</v>
      </c>
      <c r="X30" s="78">
        <f>SUM(P30:W30)</f>
        <v>148345.13243511776</v>
      </c>
      <c r="Y30" s="78">
        <f>$Y$3/$X$5</f>
        <v>115738.09523809524</v>
      </c>
      <c r="Z30" s="78">
        <f>$Z$3/$X$5</f>
        <v>95261.90476190476</v>
      </c>
      <c r="AA30" s="78">
        <f>SUM(X30:Z30)</f>
        <v>359345.13243511773</v>
      </c>
      <c r="AB30" s="78">
        <f>$AB$3/$X$5</f>
        <v>398619.04761904763</v>
      </c>
      <c r="AC30" s="76">
        <f>AA30/AB33</f>
        <v>0.901475066436205</v>
      </c>
      <c r="AD30" s="77"/>
      <c r="AE30" s="78">
        <f t="shared" si="24"/>
        <v>361.6015070163485</v>
      </c>
      <c r="AF30" s="51">
        <f t="shared" si="24"/>
        <v>-2598.0844553510433</v>
      </c>
      <c r="AG30" s="51">
        <f t="shared" si="24"/>
        <v>-10006.894572626104</v>
      </c>
      <c r="AH30" s="51">
        <f t="shared" si="24"/>
        <v>-2195.6858407746986</v>
      </c>
      <c r="AI30" s="51">
        <f t="shared" si="24"/>
        <v>-1113.9868152009985</v>
      </c>
      <c r="AJ30" s="51">
        <f t="shared" si="24"/>
        <v>168.73256415524838</v>
      </c>
      <c r="AK30" s="51">
        <f t="shared" si="24"/>
        <v>-3574.9660931897088</v>
      </c>
      <c r="AL30" s="51">
        <f t="shared" si="24"/>
        <v>-729.6087291468007</v>
      </c>
      <c r="AM30" s="78">
        <f t="shared" si="23"/>
        <v>-19688.892435117756</v>
      </c>
      <c r="AN30" s="78">
        <f t="shared" si="16"/>
        <v>-40468.385238095216</v>
      </c>
      <c r="AO30" s="78">
        <f t="shared" si="16"/>
        <v>2683.0952380952367</v>
      </c>
      <c r="AP30" s="78">
        <f t="shared" si="14"/>
        <v>-57474.182435117735</v>
      </c>
      <c r="AQ30" s="78" t="e">
        <f>N30-#REF!</f>
        <v>#REF!</v>
      </c>
      <c r="AR30" s="78"/>
    </row>
    <row r="31" spans="1:44" s="206" customFormat="1" ht="12.75">
      <c r="A31" s="199">
        <f>'[7]MONTH5'!$A25</f>
        <v>39592</v>
      </c>
      <c r="B31" s="200">
        <f>'[7]MONTH5'!B25</f>
        <v>9285.27</v>
      </c>
      <c r="C31" s="200">
        <f>'[7]MONTH5'!C25</f>
        <v>10915.47</v>
      </c>
      <c r="D31" s="200">
        <f>'[7]MONTH5'!D25</f>
        <v>6659.73</v>
      </c>
      <c r="E31" s="200">
        <f>'[7]MONTH5'!E25</f>
        <v>7009.69</v>
      </c>
      <c r="F31" s="200">
        <f>'[7]MONTH5'!F25</f>
        <v>11040.31</v>
      </c>
      <c r="G31" s="200">
        <f>'[7]MONTH5'!G25</f>
        <v>456.02</v>
      </c>
      <c r="H31" s="200">
        <f>'[7]MONTH5'!H25</f>
        <v>2244.06</v>
      </c>
      <c r="I31" s="200">
        <f>'[7]MONTH5'!I25</f>
        <v>1658.67</v>
      </c>
      <c r="J31" s="202">
        <f t="shared" si="21"/>
        <v>49269.21999999999</v>
      </c>
      <c r="K31" s="201">
        <f>'[7]MONTH5'!J25</f>
        <v>21999.130000000005</v>
      </c>
      <c r="L31" s="201">
        <f>'[7]MONTH5'!K25</f>
        <v>0</v>
      </c>
      <c r="M31" s="202">
        <f t="shared" si="22"/>
        <v>71268.34999999999</v>
      </c>
      <c r="N31" s="202">
        <f>'[7]MONTH5'!L25</f>
        <v>0</v>
      </c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s="206" customFormat="1" ht="12.75">
      <c r="A32" s="199">
        <f>'[7]MONTH5'!$A26</f>
        <v>39593</v>
      </c>
      <c r="B32" s="200">
        <f>'[7]MONTH5'!B26</f>
        <v>2613.43</v>
      </c>
      <c r="C32" s="200">
        <f>'[7]MONTH5'!C26</f>
        <v>8570.69</v>
      </c>
      <c r="D32" s="200">
        <f>'[7]MONTH5'!D26</f>
        <v>3904.73</v>
      </c>
      <c r="E32" s="200">
        <f>'[7]MONTH5'!E26</f>
        <v>1767.79</v>
      </c>
      <c r="F32" s="200">
        <f>'[7]MONTH5'!F26</f>
        <v>5790.65</v>
      </c>
      <c r="G32" s="200">
        <f>'[7]MONTH5'!G26</f>
        <v>227.99</v>
      </c>
      <c r="H32" s="200">
        <f>'[7]MONTH5'!H26</f>
        <v>1675.28</v>
      </c>
      <c r="I32" s="200">
        <f>'[7]MONTH5'!I26</f>
        <v>0</v>
      </c>
      <c r="J32" s="202">
        <f t="shared" si="21"/>
        <v>24550.56</v>
      </c>
      <c r="K32" s="201">
        <f>'[7]MONTH5'!J26</f>
        <v>18070.12999999999</v>
      </c>
      <c r="L32" s="201">
        <f>'[7]MONTH5'!K26</f>
        <v>0</v>
      </c>
      <c r="M32" s="202">
        <f t="shared" si="22"/>
        <v>42620.68999999999</v>
      </c>
      <c r="N32" s="202">
        <f>'[7]MONTH5'!L26</f>
        <v>0</v>
      </c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85" s="95" customFormat="1" ht="12.75">
      <c r="A33" s="89">
        <f>'[7]MONTH5'!$A27</f>
        <v>39594</v>
      </c>
      <c r="B33" s="51">
        <f>'[7]MONTH5'!B27</f>
        <v>0</v>
      </c>
      <c r="C33" s="51">
        <f>'[7]MONTH5'!C27</f>
        <v>3025</v>
      </c>
      <c r="D33" s="51">
        <f>'[7]MONTH5'!D27</f>
        <v>0</v>
      </c>
      <c r="E33" s="51">
        <f>'[7]MONTH5'!E27</f>
        <v>0</v>
      </c>
      <c r="F33" s="51">
        <f>'[7]MONTH5'!F27</f>
        <v>202.86</v>
      </c>
      <c r="G33" s="51">
        <f>'[7]MONTH5'!G27</f>
        <v>0</v>
      </c>
      <c r="H33" s="51">
        <f>'[7]MONTH5'!H27</f>
        <v>0</v>
      </c>
      <c r="I33" s="51">
        <f>'[7]MONTH5'!I27</f>
        <v>0</v>
      </c>
      <c r="J33" s="78">
        <f aca="true" t="shared" si="25" ref="J33:J38">SUM(B33:I33)</f>
        <v>3227.86</v>
      </c>
      <c r="K33" s="52">
        <f>'[7]MONTH5'!J27</f>
        <v>3584.73</v>
      </c>
      <c r="L33" s="52">
        <f>'[7]MONTH5'!K27</f>
        <v>0</v>
      </c>
      <c r="M33" s="78">
        <f aca="true" t="shared" si="26" ref="M33:M38">SUM(J33:L33)</f>
        <v>6812.59</v>
      </c>
      <c r="N33" s="52">
        <f>'[7]MONTH5'!L27</f>
        <v>0</v>
      </c>
      <c r="O33" s="64" t="e">
        <f t="shared" si="18"/>
        <v>#DIV/0!</v>
      </c>
      <c r="P33" s="78">
        <f>$X$3/$X$5*($P$1/$X$1)</f>
        <v>37407.98849298365</v>
      </c>
      <c r="Q33" s="78">
        <f>$X$3/$X$5*($Q$1/$X$1)</f>
        <v>9081.854455351044</v>
      </c>
      <c r="R33" s="78">
        <f>$X$3/$X$5*($R$1/$X$1)</f>
        <v>40817.634572626106</v>
      </c>
      <c r="S33" s="78">
        <f>$X$3/$X$5*($S$1/$X$1)</f>
        <v>22219.4958407747</v>
      </c>
      <c r="T33" s="78">
        <f>$X$3/$X$5*($T$1/$X$1)</f>
        <v>23181.746815200997</v>
      </c>
      <c r="U33" s="78">
        <f>$X$3/$X$5*($U$1/$X$1)</f>
        <v>1123.2974358447516</v>
      </c>
      <c r="V33" s="78">
        <f>$X$3/$X$5*($V$1/$X$1)</f>
        <v>10299.396093189709</v>
      </c>
      <c r="W33" s="78">
        <f>$X$3/$X$5*($W$1/$X$1)</f>
        <v>4213.718729146801</v>
      </c>
      <c r="X33" s="78">
        <f>SUM(P33:W33)</f>
        <v>148345.13243511776</v>
      </c>
      <c r="Y33" s="78">
        <f>$Y$3/$X$5</f>
        <v>115738.09523809524</v>
      </c>
      <c r="Z33" s="78">
        <f>$Z$3/$X$5</f>
        <v>95261.90476190476</v>
      </c>
      <c r="AA33" s="78">
        <f>SUM(X33:Z33)</f>
        <v>359345.13243511773</v>
      </c>
      <c r="AB33" s="78">
        <f>$AB$3/$X$5</f>
        <v>398619.04761904763</v>
      </c>
      <c r="AC33" s="76">
        <f>AA33/AB33</f>
        <v>0.901475066436205</v>
      </c>
      <c r="AD33" s="77"/>
      <c r="AE33" s="78">
        <f aca="true" t="shared" si="27" ref="AE33:AL37">B33-P33</f>
        <v>-37407.98849298365</v>
      </c>
      <c r="AF33" s="51">
        <f t="shared" si="27"/>
        <v>-6056.854455351044</v>
      </c>
      <c r="AG33" s="51">
        <f t="shared" si="27"/>
        <v>-40817.634572626106</v>
      </c>
      <c r="AH33" s="51">
        <f t="shared" si="27"/>
        <v>-22219.4958407747</v>
      </c>
      <c r="AI33" s="51">
        <f t="shared" si="27"/>
        <v>-22978.886815200996</v>
      </c>
      <c r="AJ33" s="51">
        <f t="shared" si="27"/>
        <v>-1123.2974358447516</v>
      </c>
      <c r="AK33" s="51">
        <f t="shared" si="27"/>
        <v>-10299.396093189709</v>
      </c>
      <c r="AL33" s="51">
        <f t="shared" si="27"/>
        <v>-4213.718729146801</v>
      </c>
      <c r="AM33" s="78">
        <f t="shared" si="23"/>
        <v>-145117.27243511777</v>
      </c>
      <c r="AN33" s="78">
        <f t="shared" si="16"/>
        <v>-112153.36523809524</v>
      </c>
      <c r="AO33" s="78">
        <f t="shared" si="16"/>
        <v>-95261.90476190476</v>
      </c>
      <c r="AP33" s="78">
        <f t="shared" si="14"/>
        <v>-352532.54243511776</v>
      </c>
      <c r="AQ33" s="78">
        <f t="shared" si="17"/>
        <v>-398619.04761904763</v>
      </c>
      <c r="AR33" s="91">
        <f>AP33/AQ33</f>
        <v>0.8843845885960426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s="95" customFormat="1" ht="12.75">
      <c r="A34" s="89">
        <f>'[7]MONTH5'!$A28</f>
        <v>39595</v>
      </c>
      <c r="B34" s="51">
        <f>'[7]MONTH5'!B28</f>
        <v>33208.3</v>
      </c>
      <c r="C34" s="51">
        <f>'[7]MONTH5'!C28</f>
        <v>5780.33</v>
      </c>
      <c r="D34" s="51">
        <f>'[7]MONTH5'!D28</f>
        <v>38879.75</v>
      </c>
      <c r="E34" s="51">
        <f>'[7]MONTH5'!E28</f>
        <v>19593.76</v>
      </c>
      <c r="F34" s="51">
        <f>'[7]MONTH5'!F28</f>
        <v>20453.82</v>
      </c>
      <c r="G34" s="51">
        <f>'[7]MONTH5'!G28</f>
        <v>1262.77</v>
      </c>
      <c r="H34" s="51">
        <f>'[7]MONTH5'!H28</f>
        <v>10534.65</v>
      </c>
      <c r="I34" s="51">
        <f>'[7]MONTH5'!I28</f>
        <v>4384.21</v>
      </c>
      <c r="J34" s="78">
        <f t="shared" si="25"/>
        <v>134097.59</v>
      </c>
      <c r="K34" s="52">
        <f>'[7]MONTH5'!J28</f>
        <v>76168.36999999998</v>
      </c>
      <c r="L34" s="52">
        <f>'[7]MONTH5'!K28</f>
        <v>137491</v>
      </c>
      <c r="M34" s="78">
        <f t="shared" si="26"/>
        <v>347756.95999999996</v>
      </c>
      <c r="N34" s="52">
        <f>'[7]MONTH5'!L28</f>
        <v>676521</v>
      </c>
      <c r="O34" s="64">
        <f t="shared" si="18"/>
        <v>0.5140371991408987</v>
      </c>
      <c r="P34" s="78">
        <f>$X$3/$X$5*($P$1/$X$1)</f>
        <v>37407.98849298365</v>
      </c>
      <c r="Q34" s="78">
        <f>$X$3/$X$5*($Q$1/$X$1)</f>
        <v>9081.854455351044</v>
      </c>
      <c r="R34" s="78">
        <f>$X$3/$X$5*($R$1/$X$1)</f>
        <v>40817.634572626106</v>
      </c>
      <c r="S34" s="78">
        <f>$X$3/$X$5*($S$1/$X$1)</f>
        <v>22219.4958407747</v>
      </c>
      <c r="T34" s="78">
        <f>$X$3/$X$5*($T$1/$X$1)</f>
        <v>23181.746815200997</v>
      </c>
      <c r="U34" s="78">
        <f>$X$3/$X$5*($U$1/$X$1)</f>
        <v>1123.2974358447516</v>
      </c>
      <c r="V34" s="78">
        <f>$X$3/$X$5*($V$1/$X$1)</f>
        <v>10299.396093189709</v>
      </c>
      <c r="W34" s="78">
        <f>$X$3/$X$5*($W$1/$X$1)</f>
        <v>4213.718729146801</v>
      </c>
      <c r="X34" s="78">
        <f>SUM(P34:W34)</f>
        <v>148345.13243511776</v>
      </c>
      <c r="Y34" s="78">
        <f>$Y$3/$X$5</f>
        <v>115738.09523809524</v>
      </c>
      <c r="Z34" s="78">
        <f>$Z$3/$X$5</f>
        <v>95261.90476190476</v>
      </c>
      <c r="AA34" s="78">
        <f>SUM(X34:Z34)</f>
        <v>359345.13243511773</v>
      </c>
      <c r="AB34" s="78">
        <f>$AB$3/$X$5</f>
        <v>398619.04761904763</v>
      </c>
      <c r="AC34" s="76">
        <f>AA34/AB34</f>
        <v>0.901475066436205</v>
      </c>
      <c r="AD34" s="77"/>
      <c r="AE34" s="78">
        <f t="shared" si="27"/>
        <v>-4199.688492983645</v>
      </c>
      <c r="AF34" s="51">
        <f t="shared" si="27"/>
        <v>-3301.524455351044</v>
      </c>
      <c r="AG34" s="51">
        <f t="shared" si="27"/>
        <v>-1937.884572626106</v>
      </c>
      <c r="AH34" s="51">
        <f t="shared" si="27"/>
        <v>-2625.7358407747015</v>
      </c>
      <c r="AI34" s="51">
        <f t="shared" si="27"/>
        <v>-2727.926815200997</v>
      </c>
      <c r="AJ34" s="51">
        <f t="shared" si="27"/>
        <v>139.4725641552484</v>
      </c>
      <c r="AK34" s="51">
        <f t="shared" si="27"/>
        <v>235.25390681029057</v>
      </c>
      <c r="AL34" s="51">
        <f t="shared" si="27"/>
        <v>170.49127085319924</v>
      </c>
      <c r="AM34" s="78">
        <f t="shared" si="23"/>
        <v>-14247.542435117755</v>
      </c>
      <c r="AN34" s="78">
        <f t="shared" si="16"/>
        <v>-39569.725238095256</v>
      </c>
      <c r="AO34" s="78">
        <f t="shared" si="16"/>
        <v>42229.09523809524</v>
      </c>
      <c r="AP34" s="78">
        <f t="shared" si="14"/>
        <v>-11588.172435117776</v>
      </c>
      <c r="AQ34" s="78">
        <f t="shared" si="17"/>
        <v>277901.95238095237</v>
      </c>
      <c r="AR34" s="91">
        <f>AP34/AQ34</f>
        <v>-0.04169878022027181</v>
      </c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44" s="60" customFormat="1" ht="12.75">
      <c r="A35" s="89">
        <f>'[7]MONTH5'!$A29</f>
        <v>39596</v>
      </c>
      <c r="B35" s="51">
        <f>'[7]MONTH5'!B29</f>
        <v>35344.14</v>
      </c>
      <c r="C35" s="51">
        <f>'[7]MONTH5'!C29</f>
        <v>5076.71</v>
      </c>
      <c r="D35" s="51">
        <f>'[7]MONTH5'!D29</f>
        <v>36577.64</v>
      </c>
      <c r="E35" s="51">
        <f>'[7]MONTH5'!E29</f>
        <v>25591.09</v>
      </c>
      <c r="F35" s="51">
        <f>'[7]MONTH5'!F29</f>
        <v>18801.35</v>
      </c>
      <c r="G35" s="51">
        <f>'[7]MONTH5'!G29</f>
        <v>1242.3</v>
      </c>
      <c r="H35" s="51">
        <f>'[7]MONTH5'!H29</f>
        <v>10963.19</v>
      </c>
      <c r="I35" s="51">
        <f>'[7]MONTH5'!I29</f>
        <v>5451.07</v>
      </c>
      <c r="J35" s="78">
        <f t="shared" si="25"/>
        <v>139047.49</v>
      </c>
      <c r="K35" s="52">
        <f>'[7]MONTH5'!J29</f>
        <v>79577.93000000001</v>
      </c>
      <c r="L35" s="52">
        <f>'[7]MONTH5'!K29</f>
        <v>136352</v>
      </c>
      <c r="M35" s="78">
        <f t="shared" si="26"/>
        <v>354977.42</v>
      </c>
      <c r="N35" s="52">
        <f>'[7]MONTH5'!L29</f>
        <v>704329</v>
      </c>
      <c r="O35" s="64">
        <f t="shared" si="18"/>
        <v>0.5039937585986094</v>
      </c>
      <c r="P35" s="78">
        <f>$X$3/$X$5*($P$1/$X$1)</f>
        <v>37407.98849298365</v>
      </c>
      <c r="Q35" s="78">
        <f>$X$3/$X$5*($Q$1/$X$1)</f>
        <v>9081.854455351044</v>
      </c>
      <c r="R35" s="78">
        <f>$X$3/$X$5*($R$1/$X$1)</f>
        <v>40817.634572626106</v>
      </c>
      <c r="S35" s="78">
        <f>$X$3/$X$5*($S$1/$X$1)</f>
        <v>22219.4958407747</v>
      </c>
      <c r="T35" s="78">
        <f>$X$3/$X$5*($T$1/$X$1)</f>
        <v>23181.746815200997</v>
      </c>
      <c r="U35" s="78">
        <f>$X$3/$X$5*($U$1/$X$1)</f>
        <v>1123.2974358447516</v>
      </c>
      <c r="V35" s="78">
        <f>$X$3/$X$5*($V$1/$X$1)</f>
        <v>10299.396093189709</v>
      </c>
      <c r="W35" s="78">
        <f>$X$3/$X$5*($W$1/$X$1)</f>
        <v>4213.718729146801</v>
      </c>
      <c r="X35" s="78">
        <f>SUM(P35:W35)</f>
        <v>148345.13243511776</v>
      </c>
      <c r="Y35" s="78">
        <f>$Y$3/$X$5</f>
        <v>115738.09523809524</v>
      </c>
      <c r="Z35" s="78">
        <f>$Z$3/$X$5</f>
        <v>95261.90476190476</v>
      </c>
      <c r="AA35" s="78">
        <f>SUM(X35:Z35)</f>
        <v>359345.13243511773</v>
      </c>
      <c r="AB35" s="78">
        <f>$AB$3/$X$5</f>
        <v>398619.04761904763</v>
      </c>
      <c r="AC35" s="76">
        <f>AA35/AB35</f>
        <v>0.901475066436205</v>
      </c>
      <c r="AD35" s="77"/>
      <c r="AE35" s="78">
        <f t="shared" si="27"/>
        <v>-2063.8484929836486</v>
      </c>
      <c r="AF35" s="51">
        <f t="shared" si="27"/>
        <v>-4005.1444553510437</v>
      </c>
      <c r="AG35" s="51">
        <f t="shared" si="27"/>
        <v>-4239.994572626107</v>
      </c>
      <c r="AH35" s="51">
        <f t="shared" si="27"/>
        <v>3371.5941592253002</v>
      </c>
      <c r="AI35" s="51">
        <f t="shared" si="27"/>
        <v>-4380.396815200998</v>
      </c>
      <c r="AJ35" s="51">
        <f t="shared" si="27"/>
        <v>119.00256415524836</v>
      </c>
      <c r="AK35" s="51">
        <f t="shared" si="27"/>
        <v>663.7939068102914</v>
      </c>
      <c r="AL35" s="51">
        <f t="shared" si="27"/>
        <v>1237.351270853199</v>
      </c>
      <c r="AM35" s="78">
        <f t="shared" si="23"/>
        <v>-9297.64243511776</v>
      </c>
      <c r="AN35" s="78">
        <f t="shared" si="16"/>
        <v>-36160.16523809523</v>
      </c>
      <c r="AO35" s="78">
        <f t="shared" si="16"/>
        <v>41090.09523809524</v>
      </c>
      <c r="AP35" s="78">
        <f t="shared" si="14"/>
        <v>-4367.712435117748</v>
      </c>
      <c r="AQ35" s="78">
        <f t="shared" si="17"/>
        <v>305709.95238095237</v>
      </c>
      <c r="AR35" s="78">
        <f>AP35/AQ35</f>
        <v>-0.014287112346525896</v>
      </c>
    </row>
    <row r="36" spans="1:44" s="60" customFormat="1" ht="12.75">
      <c r="A36" s="89">
        <f>'[7]MONTH5'!$A30</f>
        <v>39597</v>
      </c>
      <c r="B36" s="51">
        <f>'[7]MONTH5'!B30</f>
        <v>40303.96</v>
      </c>
      <c r="C36" s="51">
        <f>'[7]MONTH5'!C30</f>
        <v>3810.51</v>
      </c>
      <c r="D36" s="51">
        <f>'[7]MONTH5'!D30</f>
        <v>37739.88</v>
      </c>
      <c r="E36" s="51">
        <f>'[7]MONTH5'!E30</f>
        <v>27816.93</v>
      </c>
      <c r="F36" s="51">
        <f>'[7]MONTH5'!F30</f>
        <v>22158.39</v>
      </c>
      <c r="G36" s="51">
        <f>'[7]MONTH5'!G30</f>
        <v>1087.41</v>
      </c>
      <c r="H36" s="51">
        <f>'[7]MONTH5'!H30</f>
        <v>9046.43</v>
      </c>
      <c r="I36" s="51">
        <f>'[7]MONTH5'!I30</f>
        <v>4342.65</v>
      </c>
      <c r="J36" s="78">
        <f t="shared" si="25"/>
        <v>146306.15999999997</v>
      </c>
      <c r="K36" s="52">
        <f>'[7]MONTH5'!J30</f>
        <v>60376.390000000014</v>
      </c>
      <c r="L36" s="52">
        <f>'[7]MONTH5'!K30</f>
        <v>134664</v>
      </c>
      <c r="M36" s="78">
        <f t="shared" si="26"/>
        <v>341346.55</v>
      </c>
      <c r="N36" s="52">
        <f>'[7]MONTH5'!L30</f>
        <v>694353</v>
      </c>
      <c r="O36" s="64">
        <f t="shared" si="18"/>
        <v>0.4916037663839574</v>
      </c>
      <c r="P36" s="78">
        <f>$X$3/$X$5*($P$1/$X$1)</f>
        <v>37407.98849298365</v>
      </c>
      <c r="Q36" s="78">
        <f>$X$3/$X$5*($Q$1/$X$1)</f>
        <v>9081.854455351044</v>
      </c>
      <c r="R36" s="78">
        <f>$X$3/$X$5*($R$1/$X$1)</f>
        <v>40817.634572626106</v>
      </c>
      <c r="S36" s="78">
        <f>$X$3/$X$5*($S$1/$X$1)</f>
        <v>22219.4958407747</v>
      </c>
      <c r="T36" s="78">
        <f>$X$3/$X$5*($T$1/$X$1)</f>
        <v>23181.746815200997</v>
      </c>
      <c r="U36" s="78">
        <f>$X$3/$X$5*($U$1/$X$1)</f>
        <v>1123.2974358447516</v>
      </c>
      <c r="V36" s="78">
        <f>$X$3/$X$5*($V$1/$X$1)</f>
        <v>10299.396093189709</v>
      </c>
      <c r="W36" s="78">
        <f>$X$3/$X$5*($W$1/$X$1)</f>
        <v>4213.718729146801</v>
      </c>
      <c r="X36" s="78">
        <f>SUM(P36:W36)</f>
        <v>148345.13243511776</v>
      </c>
      <c r="Y36" s="78">
        <f>$Y$3/$X$5</f>
        <v>115738.09523809524</v>
      </c>
      <c r="Z36" s="78">
        <f>$Z$3/$X$5</f>
        <v>95261.90476190476</v>
      </c>
      <c r="AA36" s="78">
        <f>SUM(X36:Z36)</f>
        <v>359345.13243511773</v>
      </c>
      <c r="AB36" s="78">
        <f>$AB$3/$X$5</f>
        <v>398619.04761904763</v>
      </c>
      <c r="AC36" s="76">
        <f>AA36/AB36</f>
        <v>0.901475066436205</v>
      </c>
      <c r="AD36" s="77"/>
      <c r="AE36" s="78">
        <f t="shared" si="27"/>
        <v>2895.971507016351</v>
      </c>
      <c r="AF36" s="51">
        <f t="shared" si="27"/>
        <v>-5271.3444553510435</v>
      </c>
      <c r="AG36" s="51">
        <f t="shared" si="27"/>
        <v>-3077.7545726261087</v>
      </c>
      <c r="AH36" s="51">
        <f t="shared" si="27"/>
        <v>5597.4341592253</v>
      </c>
      <c r="AI36" s="51">
        <f t="shared" si="27"/>
        <v>-1023.3568152009975</v>
      </c>
      <c r="AJ36" s="51">
        <f t="shared" si="27"/>
        <v>-35.88743584475151</v>
      </c>
      <c r="AK36" s="51">
        <f t="shared" si="27"/>
        <v>-1252.9660931897088</v>
      </c>
      <c r="AL36" s="51">
        <f t="shared" si="27"/>
        <v>128.93127085319884</v>
      </c>
      <c r="AM36" s="78">
        <f t="shared" si="23"/>
        <v>-2038.9724351177597</v>
      </c>
      <c r="AN36" s="78">
        <f t="shared" si="16"/>
        <v>-55361.70523809522</v>
      </c>
      <c r="AO36" s="78">
        <f t="shared" si="16"/>
        <v>39402.09523809524</v>
      </c>
      <c r="AP36" s="78">
        <f t="shared" si="14"/>
        <v>-17998.582435117743</v>
      </c>
      <c r="AQ36" s="78">
        <f t="shared" si="17"/>
        <v>295733.95238095237</v>
      </c>
      <c r="AR36" s="78">
        <f>AP36/AQ36</f>
        <v>-0.06086072393856457</v>
      </c>
    </row>
    <row r="37" spans="1:44" s="60" customFormat="1" ht="12.75">
      <c r="A37" s="89">
        <f>'[7]MONTH5'!$A31</f>
        <v>39598</v>
      </c>
      <c r="B37" s="51">
        <f>'[7]MONTH5'!B31</f>
        <v>38699.09</v>
      </c>
      <c r="C37" s="51">
        <f>'[7]MONTH5'!C31</f>
        <v>4783.7</v>
      </c>
      <c r="D37" s="51">
        <f>'[7]MONTH5'!D31</f>
        <v>37264.35</v>
      </c>
      <c r="E37" s="51">
        <f>'[7]MONTH5'!E31</f>
        <v>22057.76</v>
      </c>
      <c r="F37" s="51">
        <f>'[7]MONTH5'!F31</f>
        <v>20539.13</v>
      </c>
      <c r="G37" s="51">
        <f>'[7]MONTH5'!G31</f>
        <v>1069.86</v>
      </c>
      <c r="H37" s="51">
        <f>'[7]MONTH5'!H31</f>
        <v>10971.07</v>
      </c>
      <c r="I37" s="51">
        <f>'[7]MONTH5'!I31</f>
        <v>5317.56</v>
      </c>
      <c r="J37" s="78">
        <f t="shared" si="25"/>
        <v>140702.52</v>
      </c>
      <c r="K37" s="52">
        <f>'[7]MONTH5'!J31</f>
        <v>88030.05999999995</v>
      </c>
      <c r="L37" s="52">
        <f>'[7]MONTH5'!K31</f>
        <v>85784</v>
      </c>
      <c r="M37" s="78">
        <f t="shared" si="26"/>
        <v>314516.57999999996</v>
      </c>
      <c r="N37" s="52">
        <v>643561</v>
      </c>
      <c r="O37" s="64">
        <f t="shared" si="18"/>
        <v>0.4887129269797268</v>
      </c>
      <c r="P37" s="78">
        <f>$X$3/$X$5*($P$1/$X$1)</f>
        <v>37407.98849298365</v>
      </c>
      <c r="Q37" s="78">
        <f>$X$3/$X$5*($Q$1/$X$1)</f>
        <v>9081.854455351044</v>
      </c>
      <c r="R37" s="78">
        <f>$X$3/$X$5*($R$1/$X$1)</f>
        <v>40817.634572626106</v>
      </c>
      <c r="S37" s="78">
        <f>$X$3/$X$5*($S$1/$X$1)</f>
        <v>22219.4958407747</v>
      </c>
      <c r="T37" s="78">
        <f>$X$3/$X$5*($T$1/$X$1)</f>
        <v>23181.746815200997</v>
      </c>
      <c r="U37" s="78">
        <f>$X$3/$X$5*($U$1/$X$1)</f>
        <v>1123.2974358447516</v>
      </c>
      <c r="V37" s="78">
        <f>$X$3/$X$5*($V$1/$X$1)</f>
        <v>10299.396093189709</v>
      </c>
      <c r="W37" s="78">
        <f>$X$3/$X$5*($W$1/$X$1)</f>
        <v>4213.718729146801</v>
      </c>
      <c r="X37" s="78">
        <f>SUM(P37:W37)</f>
        <v>148345.13243511776</v>
      </c>
      <c r="Y37" s="78">
        <f>$Y$3/$X$5</f>
        <v>115738.09523809524</v>
      </c>
      <c r="Z37" s="78">
        <f>$Z$3/$X$5</f>
        <v>95261.90476190476</v>
      </c>
      <c r="AA37" s="78">
        <f>SUM(X37:Z37)</f>
        <v>359345.13243511773</v>
      </c>
      <c r="AB37" s="78">
        <f>$AB$3/$X$5</f>
        <v>398619.04761904763</v>
      </c>
      <c r="AC37" s="76">
        <f>AA37/AB37</f>
        <v>0.901475066436205</v>
      </c>
      <c r="AD37" s="77"/>
      <c r="AE37" s="78">
        <f t="shared" si="27"/>
        <v>1291.1015070163485</v>
      </c>
      <c r="AF37" s="51">
        <f t="shared" si="27"/>
        <v>-4298.154455351044</v>
      </c>
      <c r="AG37" s="51">
        <f t="shared" si="27"/>
        <v>-3553.2845726261075</v>
      </c>
      <c r="AH37" s="51">
        <f t="shared" si="27"/>
        <v>-161.7358407747015</v>
      </c>
      <c r="AI37" s="51">
        <f t="shared" si="27"/>
        <v>-2642.616815200996</v>
      </c>
      <c r="AJ37" s="51">
        <f t="shared" si="27"/>
        <v>-53.43743584475169</v>
      </c>
      <c r="AK37" s="51">
        <f t="shared" si="27"/>
        <v>671.6739068102906</v>
      </c>
      <c r="AL37" s="51">
        <f t="shared" si="27"/>
        <v>1103.8412708531996</v>
      </c>
      <c r="AM37" s="78">
        <f t="shared" si="23"/>
        <v>-7642.6124351177605</v>
      </c>
      <c r="AN37" s="78">
        <f t="shared" si="16"/>
        <v>-27708.035238095283</v>
      </c>
      <c r="AO37" s="78">
        <f t="shared" si="16"/>
        <v>-9477.904761904763</v>
      </c>
      <c r="AP37" s="78">
        <f t="shared" si="14"/>
        <v>-44828.5524351178</v>
      </c>
      <c r="AQ37" s="78">
        <f t="shared" si="17"/>
        <v>244941.95238095237</v>
      </c>
      <c r="AR37" s="78"/>
    </row>
    <row r="38" spans="1:14" s="227" customFormat="1" ht="12.75">
      <c r="A38" s="199">
        <f>'[7]MONTH5'!$A32</f>
        <v>39599</v>
      </c>
      <c r="B38" s="200">
        <f>'[7]MONTH5'!B32</f>
        <v>21336.45</v>
      </c>
      <c r="C38" s="200">
        <f>'[7]MONTH5'!C32</f>
        <v>10856.87</v>
      </c>
      <c r="D38" s="200">
        <f>'[7]MONTH5'!D32</f>
        <v>9799.19</v>
      </c>
      <c r="E38" s="200">
        <f>'[7]MONTH5'!E32</f>
        <v>10932.31</v>
      </c>
      <c r="F38" s="200">
        <f>'[7]MONTH5'!F32</f>
        <v>12976.45</v>
      </c>
      <c r="G38" s="200">
        <f>'[7]MONTH5'!G32</f>
        <v>502.77</v>
      </c>
      <c r="H38" s="200">
        <f>'[7]MONTH5'!H32</f>
        <v>8999.74</v>
      </c>
      <c r="I38" s="200">
        <f>'[7]MONTH5'!I32</f>
        <v>4959.34</v>
      </c>
      <c r="J38" s="202">
        <f t="shared" si="25"/>
        <v>80363.12000000001</v>
      </c>
      <c r="K38" s="201">
        <f>'[7]MONTH5'!J32</f>
        <v>0</v>
      </c>
      <c r="L38" s="201">
        <f>'[7]MONTH5'!K32</f>
        <v>0</v>
      </c>
      <c r="M38" s="202">
        <f t="shared" si="26"/>
        <v>80363.12000000001</v>
      </c>
      <c r="N38" s="201">
        <v>643562</v>
      </c>
    </row>
    <row r="39" spans="1:44" s="60" customFormat="1" ht="12.75">
      <c r="A39" s="89"/>
      <c r="B39" s="51"/>
      <c r="C39" s="51"/>
      <c r="D39" s="51"/>
      <c r="E39" s="51"/>
      <c r="F39" s="51"/>
      <c r="G39" s="51"/>
      <c r="H39" s="51"/>
      <c r="I39" s="51"/>
      <c r="J39" s="78"/>
      <c r="K39" s="52"/>
      <c r="L39" s="52"/>
      <c r="M39" s="78"/>
      <c r="N39" s="52"/>
      <c r="O39" s="64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>
        <f aca="true" t="shared" si="28" ref="AE39:AL39">B39-P39</f>
        <v>0</v>
      </c>
      <c r="AF39" s="78">
        <f t="shared" si="28"/>
        <v>0</v>
      </c>
      <c r="AG39" s="78">
        <f t="shared" si="28"/>
        <v>0</v>
      </c>
      <c r="AH39" s="78">
        <f t="shared" si="28"/>
        <v>0</v>
      </c>
      <c r="AI39" s="78">
        <f t="shared" si="28"/>
        <v>0</v>
      </c>
      <c r="AJ39" s="78">
        <f t="shared" si="28"/>
        <v>0</v>
      </c>
      <c r="AK39" s="78">
        <f t="shared" si="28"/>
        <v>0</v>
      </c>
      <c r="AL39" s="78">
        <f t="shared" si="28"/>
        <v>0</v>
      </c>
      <c r="AM39" s="78">
        <f>SUM(AE39:AL39)</f>
        <v>0</v>
      </c>
      <c r="AN39" s="78">
        <f>K37-Y37</f>
        <v>-27708.035238095283</v>
      </c>
      <c r="AO39" s="78">
        <f>L39-Z39</f>
        <v>0</v>
      </c>
      <c r="AP39" s="78">
        <f>SUM(AM39:AO39)</f>
        <v>-27708.035238095283</v>
      </c>
      <c r="AQ39" s="96">
        <f t="shared" si="17"/>
        <v>0</v>
      </c>
      <c r="AR39" s="78" t="e">
        <f>AP39/AQ39</f>
        <v>#DIV/0!</v>
      </c>
    </row>
    <row r="40" spans="1:130" s="79" customFormat="1" ht="12.75">
      <c r="A40" s="89"/>
      <c r="B40" s="51"/>
      <c r="C40" s="51"/>
      <c r="D40" s="51"/>
      <c r="E40" s="51"/>
      <c r="F40" s="51"/>
      <c r="G40" s="51"/>
      <c r="H40" s="51"/>
      <c r="I40" s="51"/>
      <c r="J40" s="80"/>
      <c r="K40" s="52"/>
      <c r="L40" s="52"/>
      <c r="M40" s="80"/>
      <c r="N40" s="52"/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2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3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3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909148.9700000001</v>
      </c>
      <c r="C43" s="181">
        <f aca="true" t="shared" si="29" ref="C43:I43">SUM(C8:C42)</f>
        <v>213504.81999999995</v>
      </c>
      <c r="D43" s="181">
        <f t="shared" si="29"/>
        <v>941300.09</v>
      </c>
      <c r="E43" s="181">
        <f t="shared" si="29"/>
        <v>523982.35000000003</v>
      </c>
      <c r="F43" s="181">
        <f t="shared" si="29"/>
        <v>521407.0200000001</v>
      </c>
      <c r="G43" s="181">
        <f t="shared" si="29"/>
        <v>24901.950000000004</v>
      </c>
      <c r="H43" s="181">
        <f t="shared" si="29"/>
        <v>224555.09999999998</v>
      </c>
      <c r="I43" s="181">
        <f t="shared" si="29"/>
        <v>96118.45000000001</v>
      </c>
      <c r="J43" s="181">
        <f>SUM(J8:J42)</f>
        <v>3454918.7500000005</v>
      </c>
      <c r="K43" s="181">
        <f>SUM(K8:K42)</f>
        <v>1732833.0199999996</v>
      </c>
      <c r="L43" s="181">
        <f>SUM(L8:L42)</f>
        <v>2778042</v>
      </c>
      <c r="M43" s="181">
        <f>SUM(M8:M42)</f>
        <v>7965793.770000001</v>
      </c>
      <c r="N43" s="182">
        <f>SUM(N8:N42)</f>
        <v>8318348</v>
      </c>
      <c r="O43" s="64">
        <f>M43/N43</f>
        <v>0.9576172780941602</v>
      </c>
      <c r="P43" s="180">
        <f>SUM(P8:P42)</f>
        <v>822975.74684564</v>
      </c>
      <c r="Q43" s="180">
        <f aca="true" t="shared" si="30" ref="Q43:Y43">SUM(Q8:Q42)</f>
        <v>199800.79801772296</v>
      </c>
      <c r="R43" s="180">
        <f t="shared" si="30"/>
        <v>897987.9605977741</v>
      </c>
      <c r="S43" s="180">
        <f t="shared" si="30"/>
        <v>488828.9084970431</v>
      </c>
      <c r="T43" s="180">
        <f t="shared" si="30"/>
        <v>509998.42993442214</v>
      </c>
      <c r="U43" s="180">
        <f t="shared" si="30"/>
        <v>24712.543588584525</v>
      </c>
      <c r="V43" s="180">
        <f t="shared" si="30"/>
        <v>226586.7140501737</v>
      </c>
      <c r="W43" s="180">
        <f t="shared" si="30"/>
        <v>92701.81204122961</v>
      </c>
      <c r="X43" s="180">
        <f t="shared" si="30"/>
        <v>3263592.9135725917</v>
      </c>
      <c r="Y43" s="180">
        <f t="shared" si="30"/>
        <v>2546238.095238094</v>
      </c>
      <c r="Z43" s="180">
        <f aca="true" t="shared" si="31" ref="Z43:AE43">SUM(Z8:Z42)</f>
        <v>2095761.9047619055</v>
      </c>
      <c r="AA43" s="180">
        <f t="shared" si="31"/>
        <v>7905592.913572592</v>
      </c>
      <c r="AB43" s="180">
        <f t="shared" si="31"/>
        <v>8371000</v>
      </c>
      <c r="AC43" s="180">
        <f t="shared" si="31"/>
        <v>18.93097639516031</v>
      </c>
      <c r="AD43" s="180">
        <f t="shared" si="31"/>
        <v>0</v>
      </c>
      <c r="AE43" s="180">
        <f t="shared" si="31"/>
        <v>-17420.786845640258</v>
      </c>
      <c r="AF43" s="180" t="e">
        <f aca="true" t="shared" si="32" ref="AF43:AQ43">SUM(AF8:AF42)</f>
        <v>#REF!</v>
      </c>
      <c r="AG43" s="180" t="e">
        <f t="shared" si="32"/>
        <v>#REF!</v>
      </c>
      <c r="AH43" s="180" t="e">
        <f t="shared" si="32"/>
        <v>#REF!</v>
      </c>
      <c r="AI43" s="180" t="e">
        <f t="shared" si="32"/>
        <v>#REF!</v>
      </c>
      <c r="AJ43" s="180" t="e">
        <f t="shared" si="32"/>
        <v>#REF!</v>
      </c>
      <c r="AK43" s="180" t="e">
        <f t="shared" si="32"/>
        <v>#REF!</v>
      </c>
      <c r="AL43" s="180" t="e">
        <f t="shared" si="32"/>
        <v>#REF!</v>
      </c>
      <c r="AM43" s="180" t="e">
        <f>SUM(AM8:AM42)</f>
        <v>#REF!</v>
      </c>
      <c r="AN43" s="180" t="e">
        <f t="shared" si="32"/>
        <v>#REF!</v>
      </c>
      <c r="AO43" s="180" t="e">
        <f t="shared" si="32"/>
        <v>#REF!</v>
      </c>
      <c r="AP43" s="180" t="e">
        <f t="shared" si="32"/>
        <v>#REF!</v>
      </c>
      <c r="AQ43" s="180" t="e">
        <f t="shared" si="32"/>
        <v>#REF!</v>
      </c>
      <c r="AR43" s="180" t="e">
        <f>AP43/AQ43</f>
        <v>#REF!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 aca="true" t="shared" si="33" ref="B44:N44">SUM(P8:P37)</f>
        <v>822975.74684564</v>
      </c>
      <c r="C44" s="174">
        <f t="shared" si="33"/>
        <v>199800.79801772296</v>
      </c>
      <c r="D44" s="174">
        <f t="shared" si="33"/>
        <v>897987.9605977741</v>
      </c>
      <c r="E44" s="174">
        <f t="shared" si="33"/>
        <v>488828.9084970431</v>
      </c>
      <c r="F44" s="174">
        <f t="shared" si="33"/>
        <v>509998.42993442214</v>
      </c>
      <c r="G44" s="174">
        <f t="shared" si="33"/>
        <v>24712.543588584525</v>
      </c>
      <c r="H44" s="174">
        <f t="shared" si="33"/>
        <v>226586.7140501737</v>
      </c>
      <c r="I44" s="174">
        <f t="shared" si="33"/>
        <v>92701.81204122961</v>
      </c>
      <c r="J44" s="174">
        <f t="shared" si="33"/>
        <v>3263592.9135725917</v>
      </c>
      <c r="K44" s="174">
        <f t="shared" si="33"/>
        <v>2546238.095238094</v>
      </c>
      <c r="L44" s="174">
        <f t="shared" si="33"/>
        <v>2095761.9047619055</v>
      </c>
      <c r="M44" s="174">
        <f t="shared" si="33"/>
        <v>7905592.913572592</v>
      </c>
      <c r="N44" s="176">
        <f t="shared" si="33"/>
        <v>8371000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>P43-B43</f>
        <v>-86173.22315436008</v>
      </c>
      <c r="AF44" s="175">
        <f aca="true" t="shared" si="34" ref="AF44:AQ44">Q43-C43</f>
        <v>-13704.021982276987</v>
      </c>
      <c r="AG44" s="175">
        <f t="shared" si="34"/>
        <v>-43312.12940222584</v>
      </c>
      <c r="AH44" s="175">
        <f t="shared" si="34"/>
        <v>-35153.441502956906</v>
      </c>
      <c r="AI44" s="175">
        <f t="shared" si="34"/>
        <v>-11408.59006557794</v>
      </c>
      <c r="AJ44" s="175">
        <f t="shared" si="34"/>
        <v>-189.40641141547894</v>
      </c>
      <c r="AK44" s="175">
        <f t="shared" si="34"/>
        <v>2031.6140501737245</v>
      </c>
      <c r="AL44" s="175">
        <f t="shared" si="34"/>
        <v>-3416.6379587703996</v>
      </c>
      <c r="AM44" s="175">
        <f t="shared" si="34"/>
        <v>-191325.83642740874</v>
      </c>
      <c r="AN44" s="175">
        <f t="shared" si="34"/>
        <v>813405.0752380947</v>
      </c>
      <c r="AO44" s="175">
        <f t="shared" si="34"/>
        <v>-682280.0952380945</v>
      </c>
      <c r="AP44" s="175">
        <f t="shared" si="34"/>
        <v>-60200.856427409686</v>
      </c>
      <c r="AQ44" s="175">
        <f t="shared" si="34"/>
        <v>52652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86173.22315436008</v>
      </c>
      <c r="C45" s="183">
        <f aca="true" t="shared" si="35" ref="C45:N45">C43-C44</f>
        <v>13704.021982276987</v>
      </c>
      <c r="D45" s="183">
        <f t="shared" si="35"/>
        <v>43312.12940222584</v>
      </c>
      <c r="E45" s="183">
        <f t="shared" si="35"/>
        <v>35153.441502956906</v>
      </c>
      <c r="F45" s="183">
        <f t="shared" si="35"/>
        <v>11408.59006557794</v>
      </c>
      <c r="G45" s="183">
        <f t="shared" si="35"/>
        <v>189.40641141547894</v>
      </c>
      <c r="H45" s="183">
        <f t="shared" si="35"/>
        <v>-2031.6140501737245</v>
      </c>
      <c r="I45" s="183">
        <f t="shared" si="35"/>
        <v>3416.6379587703996</v>
      </c>
      <c r="J45" s="183">
        <f t="shared" si="35"/>
        <v>191325.83642740874</v>
      </c>
      <c r="K45" s="183">
        <f t="shared" si="35"/>
        <v>-813405.0752380947</v>
      </c>
      <c r="L45" s="183">
        <f t="shared" si="35"/>
        <v>682280.0952380945</v>
      </c>
      <c r="M45" s="183">
        <f t="shared" si="35"/>
        <v>60200.856427409686</v>
      </c>
      <c r="N45" s="184">
        <f t="shared" si="35"/>
        <v>-52652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-103594.01000000033</v>
      </c>
      <c r="AF45" s="82" t="e">
        <f aca="true" t="shared" si="36" ref="AF45:AQ45">AF44+AF43</f>
        <v>#REF!</v>
      </c>
      <c r="AG45" s="82" t="e">
        <f t="shared" si="36"/>
        <v>#REF!</v>
      </c>
      <c r="AH45" s="82" t="e">
        <f t="shared" si="36"/>
        <v>#REF!</v>
      </c>
      <c r="AI45" s="82" t="e">
        <f t="shared" si="36"/>
        <v>#REF!</v>
      </c>
      <c r="AJ45" s="82" t="e">
        <f t="shared" si="36"/>
        <v>#REF!</v>
      </c>
      <c r="AK45" s="82" t="e">
        <f t="shared" si="36"/>
        <v>#REF!</v>
      </c>
      <c r="AL45" s="82" t="e">
        <f t="shared" si="36"/>
        <v>#REF!</v>
      </c>
      <c r="AM45" s="82" t="e">
        <f t="shared" si="36"/>
        <v>#REF!</v>
      </c>
      <c r="AN45" s="82" t="e">
        <f t="shared" si="36"/>
        <v>#REF!</v>
      </c>
      <c r="AO45" s="82" t="e">
        <f t="shared" si="36"/>
        <v>#REF!</v>
      </c>
      <c r="AP45" s="82" t="e">
        <f t="shared" si="36"/>
        <v>#REF!</v>
      </c>
      <c r="AQ45" s="82" t="e">
        <f t="shared" si="36"/>
        <v>#REF!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/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K47" s="8"/>
      <c r="L47" s="8"/>
      <c r="N47" s="8"/>
      <c r="O47" s="8"/>
      <c r="Q47" s="8"/>
      <c r="R47" s="8"/>
      <c r="S47" s="8"/>
      <c r="T47" s="8"/>
      <c r="U47" s="8"/>
      <c r="V47" s="41"/>
      <c r="W47" s="41"/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7965793.770000001</v>
      </c>
      <c r="C48" s="16"/>
      <c r="K48" s="8"/>
      <c r="L48" s="8"/>
      <c r="N48" s="8"/>
      <c r="O48" s="8"/>
      <c r="P48" s="16">
        <f>SUM(P43:W43)</f>
        <v>3263592.9135725903</v>
      </c>
    </row>
    <row r="49" spans="1:15" ht="12.75">
      <c r="A49" s="43" t="s">
        <v>64</v>
      </c>
      <c r="B49" s="101">
        <f>N43</f>
        <v>8318348</v>
      </c>
      <c r="K49" s="8"/>
      <c r="L49" s="8"/>
      <c r="N49" s="8"/>
      <c r="O49" s="8"/>
    </row>
    <row r="50" spans="1:16" ht="12.75">
      <c r="A50" s="9" t="s">
        <v>63</v>
      </c>
      <c r="B50" s="102">
        <f>B48/B49</f>
        <v>0.9576172780941602</v>
      </c>
      <c r="K50" s="8"/>
      <c r="L50" s="8"/>
      <c r="N50" s="8"/>
      <c r="O50" s="8"/>
      <c r="P50" s="16">
        <f>P44-P48</f>
        <v>-3263592.9135725903</v>
      </c>
    </row>
    <row r="51" spans="11:15" ht="12.75"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1:15" ht="12.75">
      <c r="K53" s="8"/>
      <c r="L53" s="8"/>
      <c r="N53" s="8"/>
      <c r="O53" s="8"/>
    </row>
    <row r="54" spans="2:15" ht="12.75">
      <c r="B54" s="16">
        <f>B43+April!B43+March!B43</f>
        <v>2540900.2399999998</v>
      </c>
      <c r="C54" s="16">
        <f>C43+April!C43+March!C43</f>
        <v>639944.45</v>
      </c>
      <c r="D54" s="16">
        <f>D43+April!D43+March!D43</f>
        <v>2872942.88</v>
      </c>
      <c r="E54" s="16">
        <f>E43+April!E43+March!E43</f>
        <v>1578635.4500000002</v>
      </c>
      <c r="F54" s="16">
        <f>F43+April!F43+March!F43</f>
        <v>1633602.99</v>
      </c>
      <c r="G54" s="16">
        <f>G43+April!G43+March!G43</f>
        <v>78371.4</v>
      </c>
      <c r="H54" s="16">
        <f>H43+April!H43+March!H43</f>
        <v>718663.49</v>
      </c>
      <c r="I54" s="16">
        <f>I43+April!I43+March!I43</f>
        <v>299921.5800000001</v>
      </c>
      <c r="J54" s="222">
        <f>SUM(B54:I54)</f>
        <v>10362982.48</v>
      </c>
      <c r="K54" s="8"/>
      <c r="L54" s="8"/>
      <c r="N54" s="8"/>
      <c r="O54" s="8"/>
    </row>
    <row r="55" spans="2:15" ht="12.75">
      <c r="B55" s="223">
        <f>B54/$J$54</f>
        <v>0.24519005459131102</v>
      </c>
      <c r="C55" s="223">
        <f aca="true" t="shared" si="37" ref="C55:J55">C54/$J$54</f>
        <v>0.061752922118227874</v>
      </c>
      <c r="D55" s="223">
        <f t="shared" si="37"/>
        <v>0.27723127830666755</v>
      </c>
      <c r="E55" s="223">
        <f t="shared" si="37"/>
        <v>0.15233408461769396</v>
      </c>
      <c r="F55" s="223">
        <f t="shared" si="37"/>
        <v>0.15763830472093976</v>
      </c>
      <c r="G55" s="223">
        <f t="shared" si="37"/>
        <v>0.007562629788408172</v>
      </c>
      <c r="H55" s="223">
        <f t="shared" si="37"/>
        <v>0.0693490982337355</v>
      </c>
      <c r="I55" s="223">
        <f t="shared" si="37"/>
        <v>0.028941627623016115</v>
      </c>
      <c r="J55" s="223">
        <f t="shared" si="37"/>
        <v>1</v>
      </c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:15" ht="12.75">
      <c r="A58" s="243" t="s">
        <v>201</v>
      </c>
      <c r="B58" s="242">
        <v>909148.97</v>
      </c>
      <c r="C58" s="242">
        <v>213504.82</v>
      </c>
      <c r="D58" s="242">
        <v>941300.09</v>
      </c>
      <c r="E58" s="242">
        <v>523982.35</v>
      </c>
      <c r="F58" s="242">
        <v>521407.02</v>
      </c>
      <c r="G58" s="242">
        <v>24901.95</v>
      </c>
      <c r="H58" s="242">
        <v>224555.1</v>
      </c>
      <c r="I58" s="242">
        <v>96118.45</v>
      </c>
      <c r="J58" s="99">
        <v>3454918.75</v>
      </c>
      <c r="K58" s="8"/>
      <c r="L58" s="8"/>
      <c r="N58" s="8"/>
      <c r="O58" s="8"/>
    </row>
    <row r="59" spans="2:15" ht="12.75">
      <c r="B59" s="67">
        <f>B58/J58</f>
        <v>0.2631462664642982</v>
      </c>
      <c r="C59" s="67">
        <f>C58/J58</f>
        <v>0.06179734906935221</v>
      </c>
      <c r="D59" s="67">
        <f>D58/J58</f>
        <v>0.27245216403424827</v>
      </c>
      <c r="E59" s="67">
        <f>E58/J58</f>
        <v>0.15166271276278204</v>
      </c>
      <c r="F59" s="67">
        <f>F58/J58</f>
        <v>0.15091730304800946</v>
      </c>
      <c r="G59" s="67">
        <f>G58/J58</f>
        <v>0.007207680354277507</v>
      </c>
      <c r="H59" s="67">
        <f>H58/J58</f>
        <v>0.0649957687138084</v>
      </c>
      <c r="I59" s="67">
        <f>I58/J58</f>
        <v>0.027820755553223935</v>
      </c>
      <c r="J59" s="68">
        <f>SUM(B59:I59)</f>
        <v>1</v>
      </c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mergeCells count="1">
    <mergeCell ref="B3:D3"/>
  </mergeCells>
  <conditionalFormatting sqref="B41:D42 P41:AC42 AM41:AR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AE8:AL8 AF9:AL9 AF12:AL16 AF19:AL23 AF33:AL37 AF26:AL30 B8:I40">
    <cfRule type="cellIs" priority="10" dxfId="5" operator="equal" stopIfTrue="1">
      <formula>0</formula>
    </cfRule>
    <cfRule type="cellIs" priority="11" dxfId="0" operator="between" stopIfTrue="1">
      <formula>0</formula>
      <formula>#REF!</formula>
    </cfRule>
    <cfRule type="cellIs" priority="12" dxfId="2" operator="greaterThanOrEqual" stopIfTrue="1">
      <formula>#REF!</formula>
    </cfRule>
  </conditionalFormatting>
  <conditionalFormatting sqref="N44 O8:O9 O43 AQ39 AR8 O12:O16 N39:O40 AM8:AQ9 O19:O23 O26:O30 N33:O37 N38 K8:L40">
    <cfRule type="cellIs" priority="13" dxfId="2" operator="greaterThanOrEqual" stopIfTrue="1">
      <formula>#REF!</formula>
    </cfRule>
    <cfRule type="cellIs" priority="14" dxfId="1" operator="between" stopIfTrue="1">
      <formula>#REF!</formula>
      <formula>#REF!</formula>
    </cfRule>
    <cfRule type="cellIs" priority="15" dxfId="0" operator="between" stopIfTrue="1">
      <formula>#REF!</formula>
      <formula>0.1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Z371"/>
  <sheetViews>
    <sheetView zoomScale="85" zoomScaleNormal="85" workbookViewId="0" topLeftCell="A1">
      <selection activeCell="X4" sqref="X4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45" width="9.421875" style="2" customWidth="1"/>
    <col min="46" max="46" width="12.28125" style="2" customWidth="1"/>
    <col min="47" max="47" width="12.8515625" style="2" customWidth="1"/>
    <col min="48" max="48" width="12.28125" style="2" customWidth="1"/>
    <col min="49" max="49" width="11.8515625" style="2" customWidth="1"/>
    <col min="50" max="50" width="11.140625" style="2" customWidth="1"/>
    <col min="51" max="51" width="11.28125" style="2" customWidth="1"/>
    <col min="52" max="52" width="10.28125" style="2" customWidth="1"/>
    <col min="53" max="130" width="9.140625" style="2" customWidth="1"/>
  </cols>
  <sheetData>
    <row r="1" spans="1:39" ht="12.75">
      <c r="A1" s="192" t="s">
        <v>117</v>
      </c>
      <c r="K1" s="8"/>
      <c r="L1" s="8"/>
      <c r="N1" s="8"/>
      <c r="P1" s="242">
        <v>3414164.27</v>
      </c>
      <c r="Q1" s="246">
        <v>828885.6</v>
      </c>
      <c r="R1" s="246">
        <v>3725356.94</v>
      </c>
      <c r="S1" s="246">
        <v>2027936.06</v>
      </c>
      <c r="T1" s="246">
        <v>2115759.09</v>
      </c>
      <c r="U1" s="242">
        <v>102521.47</v>
      </c>
      <c r="V1" s="247">
        <v>940008.58</v>
      </c>
      <c r="W1" s="247">
        <v>384579.03</v>
      </c>
      <c r="X1" s="247">
        <v>13485980.830000002</v>
      </c>
      <c r="AM1" s="8">
        <f>SUM(AE1:AL1)</f>
        <v>0</v>
      </c>
    </row>
    <row r="2" spans="11:43" ht="12.75">
      <c r="K2" s="8"/>
      <c r="L2" s="8"/>
      <c r="N2" s="8"/>
      <c r="P2" s="67">
        <f>P1/$X$1</f>
        <v>0.2531639569296347</v>
      </c>
      <c r="Q2" s="67">
        <f aca="true" t="shared" si="0" ref="Q2:W2">Q1/$X$1</f>
        <v>0.061462759768730876</v>
      </c>
      <c r="R2" s="67">
        <f t="shared" si="0"/>
        <v>0.27623922849666394</v>
      </c>
      <c r="S2" s="67">
        <f t="shared" si="0"/>
        <v>0.15037364249315782</v>
      </c>
      <c r="T2" s="67">
        <f t="shared" si="0"/>
        <v>0.1568858147338772</v>
      </c>
      <c r="U2" s="67">
        <f t="shared" si="0"/>
        <v>0.00760207739372858</v>
      </c>
      <c r="V2" s="67">
        <f t="shared" si="0"/>
        <v>0.06970264839090683</v>
      </c>
      <c r="W2" s="67">
        <f t="shared" si="0"/>
        <v>0.028516949182108543</v>
      </c>
      <c r="X2" s="68">
        <f>SUM(P2:W2)</f>
        <v>1.0039470773888084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196">
        <v>3443000</v>
      </c>
      <c r="Y3" s="196">
        <f>(3991000*50%)+429000</f>
        <v>2424500</v>
      </c>
      <c r="Z3" s="196">
        <f>3991000*50%</f>
        <v>1995500</v>
      </c>
      <c r="AA3" s="196">
        <f>SUM(X3:Z3)</f>
        <v>7863000</v>
      </c>
      <c r="AB3" s="196">
        <f>12600000-4171000</f>
        <v>8429000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52" ht="12.75">
      <c r="A4" s="58" t="s">
        <v>164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41"/>
      <c r="Y4" s="41"/>
      <c r="Z4" s="41"/>
      <c r="AA4" s="41"/>
      <c r="AB4" s="41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  <c r="AS4" s="10"/>
      <c r="AT4" s="10"/>
      <c r="AU4" s="10"/>
      <c r="AV4" s="10"/>
      <c r="AW4" s="10"/>
      <c r="AX4" s="10"/>
      <c r="AY4" s="10"/>
      <c r="AZ4" s="11"/>
    </row>
    <row r="5" spans="1:52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22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20</v>
      </c>
      <c r="AN5" s="41"/>
      <c r="AO5" s="41"/>
      <c r="AP5" s="41"/>
      <c r="AQ5" s="41"/>
      <c r="AR5" s="70"/>
      <c r="AS5" s="12"/>
      <c r="AT5" s="12"/>
      <c r="AU5" s="12"/>
      <c r="AV5" s="12"/>
      <c r="AW5" s="13" t="s">
        <v>209</v>
      </c>
      <c r="AX5" s="12"/>
      <c r="AY5" s="12"/>
      <c r="AZ5" s="14"/>
    </row>
    <row r="6" spans="1:52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  <c r="AS6" s="15"/>
      <c r="AT6" s="15"/>
      <c r="AU6" s="15"/>
      <c r="AV6" s="12"/>
      <c r="AW6" s="12"/>
      <c r="AX6" s="12"/>
      <c r="AY6" s="12"/>
      <c r="AZ6" s="14"/>
    </row>
    <row r="7" spans="1:52" ht="25.5">
      <c r="A7" s="221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204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204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204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  <c r="AS7" s="1" t="s">
        <v>60</v>
      </c>
      <c r="AT7" s="1" t="s">
        <v>40</v>
      </c>
      <c r="AU7" s="1" t="s">
        <v>41</v>
      </c>
      <c r="AV7" s="1" t="s">
        <v>45</v>
      </c>
      <c r="AW7" s="1" t="s">
        <v>46</v>
      </c>
      <c r="AX7" s="1" t="s">
        <v>44</v>
      </c>
      <c r="AY7" s="1" t="s">
        <v>42</v>
      </c>
      <c r="AZ7" s="59" t="s">
        <v>204</v>
      </c>
    </row>
    <row r="8" spans="1:52" s="60" customFormat="1" ht="12.75">
      <c r="A8" s="89">
        <f>'[8]MONTH6'!$A3</f>
        <v>39601</v>
      </c>
      <c r="B8" s="51">
        <f>'[8]MONTH6'!B3</f>
        <v>9124.82</v>
      </c>
      <c r="C8" s="51">
        <f>'[8]MONTH6'!C3</f>
        <v>3822.2</v>
      </c>
      <c r="D8" s="51">
        <f>'[8]MONTH6'!D3</f>
        <v>11456.08</v>
      </c>
      <c r="E8" s="51">
        <f>'[8]MONTH6'!E3</f>
        <v>9792.2</v>
      </c>
      <c r="F8" s="51">
        <f>'[8]MONTH6'!F3</f>
        <v>7723.18</v>
      </c>
      <c r="G8" s="51">
        <f>'[8]MONTH6'!G3</f>
        <v>450.16</v>
      </c>
      <c r="H8" s="51">
        <f>'[8]MONTH6'!H3</f>
        <v>3218.04</v>
      </c>
      <c r="I8" s="51">
        <f>'[8]MONTH6'!I3</f>
        <v>816.92</v>
      </c>
      <c r="J8" s="78">
        <f>SUM(B8:I8)</f>
        <v>46403.600000000006</v>
      </c>
      <c r="K8" s="52">
        <f>'[8]MONTH6'!J3</f>
        <v>24323.880000000012</v>
      </c>
      <c r="L8" s="52">
        <f>'[8]MONTH6'!K3</f>
        <v>32358</v>
      </c>
      <c r="M8" s="78">
        <f>SUM(J8:L8)</f>
        <v>103085.48000000001</v>
      </c>
      <c r="N8" s="52">
        <f>'[8]MONTH6'!L3</f>
        <v>0</v>
      </c>
      <c r="O8" s="64" t="e">
        <f>M8/N8</f>
        <v>#DIV/0!</v>
      </c>
      <c r="P8" s="78">
        <f>$X$3/$X$5*($P$1/$X$1)</f>
        <v>39620.15925948783</v>
      </c>
      <c r="Q8" s="78">
        <f aca="true" t="shared" si="1" ref="Q8:Q16">$X$3/$X$5*($Q$1/$X$1)</f>
        <v>9618.921903806382</v>
      </c>
      <c r="R8" s="78">
        <f aca="true" t="shared" si="2" ref="R8:R16">$X$3/$X$5*($R$1/$X$1)</f>
        <v>43231.43925972791</v>
      </c>
      <c r="S8" s="78">
        <f aca="true" t="shared" si="3" ref="S8:S16">$X$3/$X$5*($S$1/$X$1)</f>
        <v>23533.4750501792</v>
      </c>
      <c r="T8" s="78">
        <f aca="true" t="shared" si="4" ref="T8:T16">$X$3/$X$5*($T$1/$X$1)</f>
        <v>24552.63000585178</v>
      </c>
      <c r="U8" s="78">
        <f aca="true" t="shared" si="5" ref="U8:U16">$X$3/$X$5*($U$1/$X$1)</f>
        <v>1189.7251121185227</v>
      </c>
      <c r="V8" s="78">
        <f aca="true" t="shared" si="6" ref="V8:V16">$X$3/$X$5*($V$1/$X$1)</f>
        <v>10908.464473176919</v>
      </c>
      <c r="W8" s="78">
        <f>$X$3/$X$5*($W$1/$X$1)</f>
        <v>4462.902546999987</v>
      </c>
      <c r="X8" s="78"/>
      <c r="Y8" s="78"/>
      <c r="Z8" s="78"/>
      <c r="AA8" s="78"/>
      <c r="AB8" s="78"/>
      <c r="AC8" s="76"/>
      <c r="AD8" s="77"/>
      <c r="AE8" s="78">
        <f>B8/P8</f>
        <v>0.23030750432470512</v>
      </c>
      <c r="AF8" s="51">
        <f aca="true" t="shared" si="7" ref="AE8:AF12">C8-Q8</f>
        <v>-5796.721903806382</v>
      </c>
      <c r="AG8" s="51">
        <f aca="true" t="shared" si="8" ref="AG8:AL22">D8-R8</f>
        <v>-31775.359259727906</v>
      </c>
      <c r="AH8" s="51">
        <f t="shared" si="8"/>
        <v>-13741.2750501792</v>
      </c>
      <c r="AI8" s="51">
        <f t="shared" si="8"/>
        <v>-16829.45000585178</v>
      </c>
      <c r="AJ8" s="51">
        <f t="shared" si="8"/>
        <v>-739.5651121185226</v>
      </c>
      <c r="AK8" s="51">
        <f t="shared" si="8"/>
        <v>-7690.424473176919</v>
      </c>
      <c r="AL8" s="51">
        <f t="shared" si="8"/>
        <v>-3645.982546999987</v>
      </c>
      <c r="AM8" s="96">
        <f aca="true" t="shared" si="9" ref="AM8:AM19">SUM(AE8:AL8)</f>
        <v>-80218.54804435637</v>
      </c>
      <c r="AN8" s="96">
        <f aca="true" t="shared" si="10" ref="AN8:AO37">K8-Y8</f>
        <v>24323.880000000012</v>
      </c>
      <c r="AO8" s="96">
        <f t="shared" si="10"/>
        <v>32358</v>
      </c>
      <c r="AP8" s="96">
        <f aca="true" t="shared" si="11" ref="AP8:AP37">SUM(AM8:AO8)</f>
        <v>-23536.66804435636</v>
      </c>
      <c r="AQ8" s="96">
        <f aca="true" t="shared" si="12" ref="AQ8:AQ37">N8-AB8</f>
        <v>0</v>
      </c>
      <c r="AR8" s="78"/>
      <c r="AS8" s="250">
        <f aca="true" t="shared" si="13" ref="AS8:AT12">B8/P8</f>
        <v>0.23030750432470512</v>
      </c>
      <c r="AT8" s="250">
        <f t="shared" si="13"/>
        <v>0.39736261903607784</v>
      </c>
      <c r="AU8" s="250">
        <f aca="true" t="shared" si="14" ref="AU8:AZ23">D8/R8</f>
        <v>0.26499418469909397</v>
      </c>
      <c r="AV8" s="250">
        <f t="shared" si="14"/>
        <v>0.4160966444233418</v>
      </c>
      <c r="AW8" s="250">
        <f t="shared" si="14"/>
        <v>0.31455611876036443</v>
      </c>
      <c r="AX8" s="250">
        <f t="shared" si="14"/>
        <v>0.3783731178023199</v>
      </c>
      <c r="AY8" s="250">
        <f t="shared" si="14"/>
        <v>0.29500394009742753</v>
      </c>
      <c r="AZ8" s="250">
        <f t="shared" si="14"/>
        <v>0.18304679329131726</v>
      </c>
    </row>
    <row r="9" spans="1:52" s="60" customFormat="1" ht="12.75">
      <c r="A9" s="89">
        <f>'[8]MONTH6'!$A4</f>
        <v>39602</v>
      </c>
      <c r="B9" s="51">
        <f>'[8]MONTH6'!B4</f>
        <v>40526.79</v>
      </c>
      <c r="C9" s="51">
        <f>'[8]MONTH6'!C4</f>
        <v>7632.76</v>
      </c>
      <c r="D9" s="51">
        <f>'[8]MONTH6'!D4</f>
        <v>40071.75</v>
      </c>
      <c r="E9" s="51">
        <f>'[8]MONTH6'!E4</f>
        <v>18262.3</v>
      </c>
      <c r="F9" s="51">
        <f>'[8]MONTH6'!F4</f>
        <v>20554.93</v>
      </c>
      <c r="G9" s="51">
        <f>'[8]MONTH6'!G4</f>
        <v>1221.81</v>
      </c>
      <c r="H9" s="51">
        <f>'[8]MONTH6'!H4</f>
        <v>8828.17</v>
      </c>
      <c r="I9" s="51">
        <f>'[8]MONTH6'!I4</f>
        <v>2442.22</v>
      </c>
      <c r="J9" s="78">
        <f aca="true" t="shared" si="15" ref="J9:J37">SUM(B9:I9)</f>
        <v>139540.73</v>
      </c>
      <c r="K9" s="52">
        <f>'[8]MONTH6'!J4</f>
        <v>75739.70000000001</v>
      </c>
      <c r="L9" s="52">
        <f>'[8]MONTH6'!K4</f>
        <v>129353</v>
      </c>
      <c r="M9" s="78">
        <f aca="true" t="shared" si="16" ref="M9:M37">SUM(J9:L9)</f>
        <v>344633.43000000005</v>
      </c>
      <c r="N9" s="52">
        <f>'[8]MONTH6'!L4</f>
        <v>177205</v>
      </c>
      <c r="O9" s="64">
        <f aca="true" t="shared" si="17" ref="O9:O37">M9/N9</f>
        <v>1.9448290398126467</v>
      </c>
      <c r="P9" s="78">
        <f>$X$3/$X$5*($P$1/$X$1)</f>
        <v>39620.15925948783</v>
      </c>
      <c r="Q9" s="78">
        <f t="shared" si="1"/>
        <v>9618.921903806382</v>
      </c>
      <c r="R9" s="78">
        <f t="shared" si="2"/>
        <v>43231.43925972791</v>
      </c>
      <c r="S9" s="78">
        <f t="shared" si="3"/>
        <v>23533.4750501792</v>
      </c>
      <c r="T9" s="78">
        <f t="shared" si="4"/>
        <v>24552.63000585178</v>
      </c>
      <c r="U9" s="78">
        <f t="shared" si="5"/>
        <v>1189.7251121185227</v>
      </c>
      <c r="V9" s="78">
        <f t="shared" si="6"/>
        <v>10908.464473176919</v>
      </c>
      <c r="W9" s="78">
        <f>$X$3/$X$5*($W$1/$X$1)</f>
        <v>4462.902546999987</v>
      </c>
      <c r="X9" s="78">
        <f>SUM(P9:W9)</f>
        <v>157117.71761134855</v>
      </c>
      <c r="Y9" s="78">
        <f>$Y$3/$X$5</f>
        <v>110204.54545454546</v>
      </c>
      <c r="Z9" s="78">
        <f aca="true" t="shared" si="18" ref="Z9:Z16">$Z$3/$X$5</f>
        <v>90704.54545454546</v>
      </c>
      <c r="AA9" s="78">
        <f>SUM(X9:Z9)</f>
        <v>358026.8085204395</v>
      </c>
      <c r="AB9" s="78">
        <f>$AB$3/$X$5</f>
        <v>383136.36363636365</v>
      </c>
      <c r="AC9" s="76">
        <f aca="true" t="shared" si="19" ref="AC9:AC16">AA9/AB9</f>
        <v>0.9344631376734688</v>
      </c>
      <c r="AD9" s="77"/>
      <c r="AE9" s="78">
        <f t="shared" si="7"/>
        <v>906.6307405121697</v>
      </c>
      <c r="AF9" s="51">
        <f t="shared" si="7"/>
        <v>-1986.1619038063818</v>
      </c>
      <c r="AG9" s="51">
        <f t="shared" si="8"/>
        <v>-3159.6892597279075</v>
      </c>
      <c r="AH9" s="51">
        <f t="shared" si="8"/>
        <v>-5271.175050179201</v>
      </c>
      <c r="AI9" s="51">
        <f t="shared" si="8"/>
        <v>-3997.7000058517806</v>
      </c>
      <c r="AJ9" s="51">
        <f t="shared" si="8"/>
        <v>32.08488788147724</v>
      </c>
      <c r="AK9" s="51">
        <f t="shared" si="8"/>
        <v>-2080.2944731769185</v>
      </c>
      <c r="AL9" s="51">
        <f t="shared" si="8"/>
        <v>-2020.6825469999872</v>
      </c>
      <c r="AM9" s="96">
        <f t="shared" si="9"/>
        <v>-17576.98761134853</v>
      </c>
      <c r="AN9" s="96">
        <f t="shared" si="10"/>
        <v>-34464.845454545444</v>
      </c>
      <c r="AO9" s="96">
        <f t="shared" si="10"/>
        <v>38648.454545454544</v>
      </c>
      <c r="AP9" s="96">
        <f t="shared" si="11"/>
        <v>-13393.37852043943</v>
      </c>
      <c r="AQ9" s="96">
        <f t="shared" si="12"/>
        <v>-205931.36363636365</v>
      </c>
      <c r="AR9" s="78"/>
      <c r="AS9" s="250">
        <f t="shared" si="13"/>
        <v>1.0228830665362623</v>
      </c>
      <c r="AT9" s="250">
        <f t="shared" si="13"/>
        <v>0.7935151232467724</v>
      </c>
      <c r="AU9" s="250">
        <f t="shared" si="14"/>
        <v>0.9269122353122463</v>
      </c>
      <c r="AV9" s="250">
        <f t="shared" si="14"/>
        <v>0.7760137404722528</v>
      </c>
      <c r="AW9" s="250">
        <f t="shared" si="14"/>
        <v>0.8371783387401275</v>
      </c>
      <c r="AX9" s="250">
        <f t="shared" si="14"/>
        <v>1.0269683202906799</v>
      </c>
      <c r="AY9" s="250">
        <f t="shared" si="14"/>
        <v>0.8092953890722013</v>
      </c>
      <c r="AZ9" s="250">
        <f t="shared" si="14"/>
        <v>0.5472268269988748</v>
      </c>
    </row>
    <row r="10" spans="1:52" s="60" customFormat="1" ht="12.75">
      <c r="A10" s="89">
        <f>'[8]MONTH6'!$A5</f>
        <v>39603</v>
      </c>
      <c r="B10" s="51">
        <f>'[8]MONTH6'!B5</f>
        <v>33287</v>
      </c>
      <c r="C10" s="51">
        <f>'[8]MONTH6'!C5</f>
        <v>4584.35</v>
      </c>
      <c r="D10" s="51">
        <f>'[8]MONTH6'!D5</f>
        <v>46871.19</v>
      </c>
      <c r="E10" s="51">
        <f>'[8]MONTH6'!E5</f>
        <v>18794.28</v>
      </c>
      <c r="F10" s="51">
        <f>'[8]MONTH6'!F5</f>
        <v>23033.44</v>
      </c>
      <c r="G10" s="51">
        <f>'[8]MONTH6'!G5</f>
        <v>1049.4</v>
      </c>
      <c r="H10" s="51">
        <f>'[8]MONTH6'!H5</f>
        <v>9506.13</v>
      </c>
      <c r="I10" s="51">
        <f>'[8]MONTH6'!I5</f>
        <v>2909.04</v>
      </c>
      <c r="J10" s="78">
        <f t="shared" si="15"/>
        <v>140034.83000000002</v>
      </c>
      <c r="K10" s="52">
        <f>'[8]MONTH6'!J5</f>
        <v>84039.55000000003</v>
      </c>
      <c r="L10" s="52">
        <f>'[8]MONTH6'!K5</f>
        <v>145824</v>
      </c>
      <c r="M10" s="78">
        <f t="shared" si="16"/>
        <v>369898.38000000006</v>
      </c>
      <c r="N10" s="52">
        <f>'[8]MONTH6'!L5</f>
        <v>264961</v>
      </c>
      <c r="O10" s="64">
        <f t="shared" si="17"/>
        <v>1.3960483995757869</v>
      </c>
      <c r="P10" s="78">
        <f>$X$3/$X$5*($P$1/$X$1)</f>
        <v>39620.15925948783</v>
      </c>
      <c r="Q10" s="78">
        <f t="shared" si="1"/>
        <v>9618.921903806382</v>
      </c>
      <c r="R10" s="78">
        <f t="shared" si="2"/>
        <v>43231.43925972791</v>
      </c>
      <c r="S10" s="78">
        <f t="shared" si="3"/>
        <v>23533.4750501792</v>
      </c>
      <c r="T10" s="78">
        <f t="shared" si="4"/>
        <v>24552.63000585178</v>
      </c>
      <c r="U10" s="78">
        <f t="shared" si="5"/>
        <v>1189.7251121185227</v>
      </c>
      <c r="V10" s="78">
        <f t="shared" si="6"/>
        <v>10908.464473176919</v>
      </c>
      <c r="W10" s="78">
        <f aca="true" t="shared" si="20" ref="W10:W16">$X$3/$X$5*($W$1/$X$1)</f>
        <v>4462.902546999987</v>
      </c>
      <c r="X10" s="78">
        <f>SUM(P10:W10)</f>
        <v>157117.71761134855</v>
      </c>
      <c r="Y10" s="78">
        <f aca="true" t="shared" si="21" ref="Y10:Y16">$Y$3/$X$5</f>
        <v>110204.54545454546</v>
      </c>
      <c r="Z10" s="78">
        <f t="shared" si="18"/>
        <v>90704.54545454546</v>
      </c>
      <c r="AA10" s="78">
        <f>SUM(X10:Z10)</f>
        <v>358026.8085204395</v>
      </c>
      <c r="AB10" s="78">
        <f aca="true" t="shared" si="22" ref="AB10:AB16">$AB$3/$X$5</f>
        <v>383136.36363636365</v>
      </c>
      <c r="AC10" s="76">
        <f t="shared" si="19"/>
        <v>0.9344631376734688</v>
      </c>
      <c r="AD10" s="77"/>
      <c r="AE10" s="78">
        <f t="shared" si="7"/>
        <v>-6333.159259487831</v>
      </c>
      <c r="AF10" s="51">
        <f t="shared" si="7"/>
        <v>-5034.571903806382</v>
      </c>
      <c r="AG10" s="51">
        <f t="shared" si="8"/>
        <v>3639.750740272095</v>
      </c>
      <c r="AH10" s="51">
        <f t="shared" si="8"/>
        <v>-4739.195050179202</v>
      </c>
      <c r="AI10" s="51">
        <f t="shared" si="8"/>
        <v>-1519.1900058517822</v>
      </c>
      <c r="AJ10" s="51">
        <f t="shared" si="8"/>
        <v>-140.3251121185226</v>
      </c>
      <c r="AK10" s="51">
        <f t="shared" si="8"/>
        <v>-1402.3344731769193</v>
      </c>
      <c r="AL10" s="51">
        <f t="shared" si="8"/>
        <v>-1553.862546999987</v>
      </c>
      <c r="AM10" s="78">
        <f t="shared" si="9"/>
        <v>-17082.88761134853</v>
      </c>
      <c r="AN10" s="78">
        <f t="shared" si="10"/>
        <v>-26164.995454545424</v>
      </c>
      <c r="AO10" s="78">
        <f t="shared" si="10"/>
        <v>55119.454545454544</v>
      </c>
      <c r="AP10" s="78">
        <f t="shared" si="11"/>
        <v>11871.571479560589</v>
      </c>
      <c r="AQ10" s="78">
        <f t="shared" si="12"/>
        <v>-118175.36363636365</v>
      </c>
      <c r="AR10" s="78">
        <f>AP10/AQ10</f>
        <v>-0.10045724518428811</v>
      </c>
      <c r="AS10" s="250">
        <f t="shared" si="13"/>
        <v>0.8401531094812237</v>
      </c>
      <c r="AT10" s="250">
        <f t="shared" si="13"/>
        <v>0.4765970704248976</v>
      </c>
      <c r="AU10" s="250">
        <f t="shared" si="14"/>
        <v>1.0841922175758485</v>
      </c>
      <c r="AV10" s="250">
        <f t="shared" si="14"/>
        <v>0.7986189867805726</v>
      </c>
      <c r="AW10" s="250">
        <f t="shared" si="14"/>
        <v>0.9381251619280825</v>
      </c>
      <c r="AX10" s="250">
        <f t="shared" si="14"/>
        <v>0.8820524920511695</v>
      </c>
      <c r="AY10" s="250">
        <f t="shared" si="14"/>
        <v>0.8714452912575228</v>
      </c>
      <c r="AZ10" s="250">
        <f t="shared" si="14"/>
        <v>0.6518269151889703</v>
      </c>
    </row>
    <row r="11" spans="1:57" s="95" customFormat="1" ht="12.75">
      <c r="A11" s="89">
        <f>'[8]MONTH6'!$A6</f>
        <v>39604</v>
      </c>
      <c r="B11" s="51">
        <f>'[8]MONTH6'!B6</f>
        <v>39577.63</v>
      </c>
      <c r="C11" s="51">
        <f>'[8]MONTH6'!C6</f>
        <v>5956.12</v>
      </c>
      <c r="D11" s="51">
        <f>'[8]MONTH6'!D6</f>
        <v>34001.07</v>
      </c>
      <c r="E11" s="51">
        <f>'[8]MONTH6'!E6</f>
        <v>20359.75</v>
      </c>
      <c r="F11" s="51">
        <f>'[8]MONTH6'!F6</f>
        <v>21308.05</v>
      </c>
      <c r="G11" s="51">
        <f>'[8]MONTH6'!G6</f>
        <v>625.54</v>
      </c>
      <c r="H11" s="51">
        <f>'[8]MONTH6'!H6</f>
        <v>7628.27</v>
      </c>
      <c r="I11" s="51">
        <f>'[8]MONTH6'!I6</f>
        <v>2825.51</v>
      </c>
      <c r="J11" s="78">
        <f t="shared" si="15"/>
        <v>132281.94</v>
      </c>
      <c r="K11" s="52">
        <v>54689</v>
      </c>
      <c r="L11" s="52">
        <v>100857</v>
      </c>
      <c r="M11" s="78">
        <f t="shared" si="16"/>
        <v>287827.94</v>
      </c>
      <c r="N11" s="52">
        <v>182022</v>
      </c>
      <c r="O11" s="64">
        <f t="shared" si="17"/>
        <v>1.581281053938535</v>
      </c>
      <c r="P11" s="78">
        <f>$X$3/$X$5*($P$1/$X$1)</f>
        <v>39620.15925948783</v>
      </c>
      <c r="Q11" s="78">
        <f t="shared" si="1"/>
        <v>9618.921903806382</v>
      </c>
      <c r="R11" s="78">
        <f t="shared" si="2"/>
        <v>43231.43925972791</v>
      </c>
      <c r="S11" s="78">
        <f t="shared" si="3"/>
        <v>23533.4750501792</v>
      </c>
      <c r="T11" s="78">
        <f t="shared" si="4"/>
        <v>24552.63000585178</v>
      </c>
      <c r="U11" s="78">
        <f t="shared" si="5"/>
        <v>1189.7251121185227</v>
      </c>
      <c r="V11" s="78">
        <f t="shared" si="6"/>
        <v>10908.464473176919</v>
      </c>
      <c r="W11" s="78">
        <f t="shared" si="20"/>
        <v>4462.902546999987</v>
      </c>
      <c r="X11" s="78">
        <f>SUM(P11:W11)</f>
        <v>157117.71761134855</v>
      </c>
      <c r="Y11" s="78">
        <f t="shared" si="21"/>
        <v>110204.54545454546</v>
      </c>
      <c r="Z11" s="78">
        <f t="shared" si="18"/>
        <v>90704.54545454546</v>
      </c>
      <c r="AA11" s="78">
        <f>SUM(X11:Z11)</f>
        <v>358026.8085204395</v>
      </c>
      <c r="AB11" s="78">
        <f t="shared" si="22"/>
        <v>383136.36363636365</v>
      </c>
      <c r="AC11" s="76">
        <f t="shared" si="19"/>
        <v>0.9344631376734688</v>
      </c>
      <c r="AD11" s="77"/>
      <c r="AE11" s="78">
        <f t="shared" si="7"/>
        <v>-42.52925948783377</v>
      </c>
      <c r="AF11" s="51">
        <f t="shared" si="7"/>
        <v>-3662.801903806382</v>
      </c>
      <c r="AG11" s="51">
        <f t="shared" si="8"/>
        <v>-9230.369259727908</v>
      </c>
      <c r="AH11" s="51">
        <f t="shared" si="8"/>
        <v>-3173.7250501792005</v>
      </c>
      <c r="AI11" s="51">
        <f t="shared" si="8"/>
        <v>-3244.5800058517816</v>
      </c>
      <c r="AJ11" s="51">
        <f t="shared" si="8"/>
        <v>-564.1851121185227</v>
      </c>
      <c r="AK11" s="51">
        <f t="shared" si="8"/>
        <v>-3280.194473176918</v>
      </c>
      <c r="AL11" s="51">
        <f t="shared" si="8"/>
        <v>-1637.3925469999867</v>
      </c>
      <c r="AM11" s="78">
        <f t="shared" si="9"/>
        <v>-24835.777611348538</v>
      </c>
      <c r="AN11" s="78">
        <f t="shared" si="10"/>
        <v>-55515.545454545456</v>
      </c>
      <c r="AO11" s="78">
        <f t="shared" si="10"/>
        <v>10152.454545454544</v>
      </c>
      <c r="AP11" s="78">
        <f t="shared" si="11"/>
        <v>-70198.86852043944</v>
      </c>
      <c r="AQ11" s="78">
        <f t="shared" si="12"/>
        <v>-201114.36363636365</v>
      </c>
      <c r="AR11" s="78">
        <f>AP11/AQ11</f>
        <v>0.34904950223926584</v>
      </c>
      <c r="AS11" s="250">
        <f t="shared" si="13"/>
        <v>0.9989265752515205</v>
      </c>
      <c r="AT11" s="250">
        <f t="shared" si="13"/>
        <v>0.6192086867492973</v>
      </c>
      <c r="AU11" s="250">
        <f t="shared" si="14"/>
        <v>0.7864894295035321</v>
      </c>
      <c r="AV11" s="250">
        <f t="shared" si="14"/>
        <v>0.8651399742956775</v>
      </c>
      <c r="AW11" s="250">
        <f t="shared" si="14"/>
        <v>0.8678520384545981</v>
      </c>
      <c r="AX11" s="250">
        <f t="shared" si="14"/>
        <v>0.5257853210193335</v>
      </c>
      <c r="AY11" s="250">
        <f t="shared" si="14"/>
        <v>0.6992982393404071</v>
      </c>
      <c r="AZ11" s="250">
        <f t="shared" si="14"/>
        <v>0.6331103962597928</v>
      </c>
      <c r="BA11" s="60"/>
      <c r="BB11" s="60"/>
      <c r="BC11" s="60"/>
      <c r="BD11" s="60"/>
      <c r="BE11" s="60"/>
    </row>
    <row r="12" spans="1:57" s="95" customFormat="1" ht="12.75">
      <c r="A12" s="89">
        <f>'[8]MONTH6'!$A7</f>
        <v>39605</v>
      </c>
      <c r="B12" s="51">
        <f>'[8]MONTH6'!B7</f>
        <v>40442.44</v>
      </c>
      <c r="C12" s="51">
        <f>'[8]MONTH6'!C7</f>
        <v>6237.5</v>
      </c>
      <c r="D12" s="51">
        <f>'[8]MONTH6'!D7</f>
        <v>32696.11</v>
      </c>
      <c r="E12" s="51">
        <f>'[8]MONTH6'!E7</f>
        <v>17519.78</v>
      </c>
      <c r="F12" s="51">
        <f>'[8]MONTH6'!F7</f>
        <v>20154.57</v>
      </c>
      <c r="G12" s="51">
        <f>'[8]MONTH6'!G7</f>
        <v>920.74</v>
      </c>
      <c r="H12" s="51">
        <f>'[8]MONTH6'!H7</f>
        <v>7589.33</v>
      </c>
      <c r="I12" s="51">
        <f>'[8]MONTH6'!I7</f>
        <v>4559.17</v>
      </c>
      <c r="J12" s="78">
        <f t="shared" si="15"/>
        <v>130119.64</v>
      </c>
      <c r="K12" s="52">
        <f>'[8]MONTH6'!J7</f>
        <v>82381.25000000003</v>
      </c>
      <c r="L12" s="52">
        <f>'[8]MONTH6'!K7</f>
        <v>85809</v>
      </c>
      <c r="M12" s="78">
        <f t="shared" si="16"/>
        <v>298309.89</v>
      </c>
      <c r="N12" s="52">
        <f>'[8]MONTH6'!L7</f>
        <v>314819</v>
      </c>
      <c r="O12" s="64">
        <f t="shared" si="17"/>
        <v>0.9475599947906576</v>
      </c>
      <c r="P12" s="78">
        <f>$X$3/$X$5*($P$1/$X$1)</f>
        <v>39620.15925948783</v>
      </c>
      <c r="Q12" s="78">
        <f t="shared" si="1"/>
        <v>9618.921903806382</v>
      </c>
      <c r="R12" s="78">
        <f t="shared" si="2"/>
        <v>43231.43925972791</v>
      </c>
      <c r="S12" s="78">
        <f t="shared" si="3"/>
        <v>23533.4750501792</v>
      </c>
      <c r="T12" s="78">
        <f t="shared" si="4"/>
        <v>24552.63000585178</v>
      </c>
      <c r="U12" s="78">
        <f t="shared" si="5"/>
        <v>1189.7251121185227</v>
      </c>
      <c r="V12" s="78">
        <f t="shared" si="6"/>
        <v>10908.464473176919</v>
      </c>
      <c r="W12" s="78">
        <f t="shared" si="20"/>
        <v>4462.902546999987</v>
      </c>
      <c r="X12" s="78">
        <f>SUM(P12:W12)</f>
        <v>157117.71761134855</v>
      </c>
      <c r="Y12" s="78">
        <f t="shared" si="21"/>
        <v>110204.54545454546</v>
      </c>
      <c r="Z12" s="78">
        <f t="shared" si="18"/>
        <v>90704.54545454546</v>
      </c>
      <c r="AA12" s="78">
        <f>SUM(X12:Z12)</f>
        <v>358026.8085204395</v>
      </c>
      <c r="AB12" s="78">
        <f t="shared" si="22"/>
        <v>383136.36363636365</v>
      </c>
      <c r="AC12" s="76">
        <f t="shared" si="19"/>
        <v>0.9344631376734688</v>
      </c>
      <c r="AD12" s="77"/>
      <c r="AE12" s="78">
        <f t="shared" si="7"/>
        <v>822.2807405121712</v>
      </c>
      <c r="AF12" s="51">
        <f t="shared" si="7"/>
        <v>-3381.421903806382</v>
      </c>
      <c r="AG12" s="51">
        <f t="shared" si="8"/>
        <v>-10535.329259727907</v>
      </c>
      <c r="AH12" s="51">
        <f t="shared" si="8"/>
        <v>-6013.695050179202</v>
      </c>
      <c r="AI12" s="51">
        <f t="shared" si="8"/>
        <v>-4398.060005851781</v>
      </c>
      <c r="AJ12" s="51">
        <f t="shared" si="8"/>
        <v>-268.9851121185227</v>
      </c>
      <c r="AK12" s="51">
        <f t="shared" si="8"/>
        <v>-3319.1344731769186</v>
      </c>
      <c r="AL12" s="51">
        <f t="shared" si="8"/>
        <v>96.26745300001312</v>
      </c>
      <c r="AM12" s="78">
        <f t="shared" si="9"/>
        <v>-26998.077611348526</v>
      </c>
      <c r="AN12" s="78">
        <f t="shared" si="10"/>
        <v>-27823.295454545427</v>
      </c>
      <c r="AO12" s="78">
        <f t="shared" si="10"/>
        <v>-4895.545454545456</v>
      </c>
      <c r="AP12" s="78">
        <f t="shared" si="11"/>
        <v>-59716.91852043941</v>
      </c>
      <c r="AQ12" s="78">
        <f t="shared" si="12"/>
        <v>-68317.36363636365</v>
      </c>
      <c r="AR12" s="78">
        <f>AP12/AQ12</f>
        <v>0.8741104068110375</v>
      </c>
      <c r="AS12" s="250">
        <f t="shared" si="13"/>
        <v>1.020754099828997</v>
      </c>
      <c r="AT12" s="250">
        <f t="shared" si="13"/>
        <v>0.648461445303107</v>
      </c>
      <c r="AU12" s="250">
        <f t="shared" si="14"/>
        <v>0.7563039898710461</v>
      </c>
      <c r="AV12" s="250">
        <f t="shared" si="14"/>
        <v>0.7444620891153341</v>
      </c>
      <c r="AW12" s="250">
        <f t="shared" si="14"/>
        <v>0.8208721426257161</v>
      </c>
      <c r="AX12" s="250">
        <f t="shared" si="14"/>
        <v>0.7739098642378444</v>
      </c>
      <c r="AY12" s="250">
        <f t="shared" si="14"/>
        <v>0.695728534356195</v>
      </c>
      <c r="AZ12" s="250">
        <f t="shared" si="14"/>
        <v>1.0215705926773428</v>
      </c>
      <c r="BA12" s="60"/>
      <c r="BB12" s="60"/>
      <c r="BC12" s="60"/>
      <c r="BD12" s="60"/>
      <c r="BE12" s="60"/>
    </row>
    <row r="13" spans="1:52" s="206" customFormat="1" ht="12.75">
      <c r="A13" s="199">
        <f>'[8]MONTH6'!$A8</f>
        <v>39606</v>
      </c>
      <c r="B13" s="200">
        <f>'[8]MONTH6'!B8</f>
        <v>26520.46</v>
      </c>
      <c r="C13" s="200">
        <f>'[8]MONTH6'!C8</f>
        <v>7609.27</v>
      </c>
      <c r="D13" s="200">
        <f>'[8]MONTH6'!D8</f>
        <v>26349.16</v>
      </c>
      <c r="E13" s="200">
        <f>'[8]MONTH6'!E8</f>
        <v>9871.98</v>
      </c>
      <c r="F13" s="200">
        <f>'[8]MONTH6'!F8</f>
        <v>11453.67</v>
      </c>
      <c r="G13" s="200">
        <f>'[8]MONTH6'!G8</f>
        <v>330.32</v>
      </c>
      <c r="H13" s="200">
        <f>'[8]MONTH6'!H8</f>
        <v>1534.95</v>
      </c>
      <c r="I13" s="200">
        <f>'[8]MONTH6'!I8</f>
        <v>1191.95</v>
      </c>
      <c r="J13" s="202">
        <f>SUM(B13:I13)</f>
        <v>84861.76</v>
      </c>
      <c r="K13" s="201">
        <f>'[8]MONTH6'!J8</f>
        <v>34361.57000000001</v>
      </c>
      <c r="L13" s="201">
        <f>'[8]MONTH6'!K8</f>
        <v>77623</v>
      </c>
      <c r="M13" s="202">
        <f>SUM(J13:L13)</f>
        <v>196846.33000000002</v>
      </c>
      <c r="N13" s="201">
        <f>'[8]MONTH6'!L8</f>
        <v>0</v>
      </c>
      <c r="O13" s="203" t="e">
        <f>M13/N13</f>
        <v>#DIV/0!</v>
      </c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 t="e">
        <f>AP13/AQ13</f>
        <v>#DIV/0!</v>
      </c>
      <c r="AS13" s="251"/>
      <c r="AT13" s="251"/>
      <c r="AU13" s="251"/>
      <c r="AV13" s="251"/>
      <c r="AW13" s="251"/>
      <c r="AX13" s="251"/>
      <c r="AY13" s="251"/>
      <c r="AZ13" s="251"/>
    </row>
    <row r="14" spans="1:52" s="206" customFormat="1" ht="12.75">
      <c r="A14" s="199">
        <f>'[8]MONTH6'!$A9</f>
        <v>39607</v>
      </c>
      <c r="B14" s="200">
        <f>'[8]MONTH6'!B9</f>
        <v>17532.43</v>
      </c>
      <c r="C14" s="200">
        <f>'[8]MONTH6'!C9</f>
        <v>7011.23</v>
      </c>
      <c r="D14" s="200">
        <f>'[8]MONTH6'!D9</f>
        <v>19174.67</v>
      </c>
      <c r="E14" s="200">
        <f>'[8]MONTH6'!E9</f>
        <v>5480.33</v>
      </c>
      <c r="F14" s="200">
        <f>'[8]MONTH6'!F9</f>
        <v>8426.59</v>
      </c>
      <c r="G14" s="200">
        <f>'[8]MONTH6'!G9</f>
        <v>172.47</v>
      </c>
      <c r="H14" s="200">
        <f>'[8]MONTH6'!H9</f>
        <v>1909</v>
      </c>
      <c r="I14" s="200">
        <f>'[8]MONTH6'!I9</f>
        <v>0</v>
      </c>
      <c r="J14" s="202">
        <f>SUM(B14:I14)</f>
        <v>59706.72</v>
      </c>
      <c r="K14" s="201">
        <f>'[8]MONTH6'!J9</f>
        <v>31134.520000000004</v>
      </c>
      <c r="L14" s="201">
        <f>'[8]MONTH6'!K9</f>
        <v>52358</v>
      </c>
      <c r="M14" s="202">
        <f>SUM(J14:L14)</f>
        <v>143199.24</v>
      </c>
      <c r="N14" s="201">
        <f>'[8]MONTH6'!L9</f>
        <v>0</v>
      </c>
      <c r="O14" s="203" t="e">
        <f>M14/N14</f>
        <v>#DIV/0!</v>
      </c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 t="e">
        <f>AP14/AQ14</f>
        <v>#DIV/0!</v>
      </c>
      <c r="AS14" s="251"/>
      <c r="AT14" s="251"/>
      <c r="AU14" s="251"/>
      <c r="AV14" s="251"/>
      <c r="AW14" s="251"/>
      <c r="AX14" s="251"/>
      <c r="AY14" s="251"/>
      <c r="AZ14" s="251"/>
    </row>
    <row r="15" spans="1:52" s="60" customFormat="1" ht="12.75">
      <c r="A15" s="89">
        <f>'[8]MONTH6'!$A10</f>
        <v>39608</v>
      </c>
      <c r="B15" s="51">
        <f>'[8]MONTH6'!B10</f>
        <v>31595.01</v>
      </c>
      <c r="C15" s="51">
        <f>'[8]MONTH6'!C10</f>
        <v>6600.98</v>
      </c>
      <c r="D15" s="51">
        <f>'[8]MONTH6'!D10</f>
        <v>40536.13</v>
      </c>
      <c r="E15" s="51">
        <f>'[8]MONTH6'!E10</f>
        <v>19545.93</v>
      </c>
      <c r="F15" s="51">
        <f>'[8]MONTH6'!F10</f>
        <v>19405.98</v>
      </c>
      <c r="G15" s="51">
        <f>'[8]MONTH6'!G10</f>
        <v>926.61</v>
      </c>
      <c r="H15" s="51">
        <f>'[8]MONTH6'!H10</f>
        <v>8002.33</v>
      </c>
      <c r="I15" s="51">
        <f>'[8]MONTH6'!I10</f>
        <v>2492.28</v>
      </c>
      <c r="J15" s="78">
        <f t="shared" si="15"/>
        <v>129105.24999999999</v>
      </c>
      <c r="K15" s="52">
        <f>'[8]MONTH6'!J10</f>
        <v>44964.85000000001</v>
      </c>
      <c r="L15" s="52">
        <f>'[8]MONTH6'!K10</f>
        <v>136249</v>
      </c>
      <c r="M15" s="78">
        <f t="shared" si="16"/>
        <v>310319.1</v>
      </c>
      <c r="N15" s="52">
        <f>'[8]MONTH6'!L10</f>
        <v>146563</v>
      </c>
      <c r="O15" s="64">
        <f t="shared" si="17"/>
        <v>2.117308597667897</v>
      </c>
      <c r="P15" s="78">
        <f>$X$3/$X$5*($P$1/$X$1)</f>
        <v>39620.15925948783</v>
      </c>
      <c r="Q15" s="78">
        <f t="shared" si="1"/>
        <v>9618.921903806382</v>
      </c>
      <c r="R15" s="78">
        <f t="shared" si="2"/>
        <v>43231.43925972791</v>
      </c>
      <c r="S15" s="78">
        <f t="shared" si="3"/>
        <v>23533.4750501792</v>
      </c>
      <c r="T15" s="78">
        <f t="shared" si="4"/>
        <v>24552.63000585178</v>
      </c>
      <c r="U15" s="78">
        <f t="shared" si="5"/>
        <v>1189.7251121185227</v>
      </c>
      <c r="V15" s="78">
        <f t="shared" si="6"/>
        <v>10908.464473176919</v>
      </c>
      <c r="W15" s="78">
        <f t="shared" si="20"/>
        <v>4462.902546999987</v>
      </c>
      <c r="X15" s="78">
        <f>SUM(P15:W15)</f>
        <v>157117.71761134855</v>
      </c>
      <c r="Y15" s="78">
        <f t="shared" si="21"/>
        <v>110204.54545454546</v>
      </c>
      <c r="Z15" s="78">
        <f t="shared" si="18"/>
        <v>90704.54545454546</v>
      </c>
      <c r="AA15" s="78">
        <f>SUM(X15:Z15)</f>
        <v>358026.8085204395</v>
      </c>
      <c r="AB15" s="78">
        <f t="shared" si="22"/>
        <v>383136.36363636365</v>
      </c>
      <c r="AC15" s="76">
        <f>AA15/AB15</f>
        <v>0.9344631376734688</v>
      </c>
      <c r="AD15" s="77"/>
      <c r="AE15" s="78" t="e">
        <f>B15-#REF!</f>
        <v>#REF!</v>
      </c>
      <c r="AF15" s="51" t="e">
        <f>C15-#REF!</f>
        <v>#REF!</v>
      </c>
      <c r="AG15" s="51" t="e">
        <f>D15-#REF!</f>
        <v>#REF!</v>
      </c>
      <c r="AH15" s="51" t="e">
        <f>E15-#REF!</f>
        <v>#REF!</v>
      </c>
      <c r="AI15" s="51" t="e">
        <f>F15-#REF!</f>
        <v>#REF!</v>
      </c>
      <c r="AJ15" s="51" t="e">
        <f>G15-#REF!</f>
        <v>#REF!</v>
      </c>
      <c r="AK15" s="51" t="e">
        <f>H15-#REF!</f>
        <v>#REF!</v>
      </c>
      <c r="AL15" s="51" t="e">
        <f>I15-#REF!</f>
        <v>#REF!</v>
      </c>
      <c r="AM15" s="78" t="e">
        <f t="shared" si="9"/>
        <v>#REF!</v>
      </c>
      <c r="AN15" s="78">
        <f t="shared" si="10"/>
        <v>-65239.69545454544</v>
      </c>
      <c r="AO15" s="78">
        <f t="shared" si="10"/>
        <v>45544.454545454544</v>
      </c>
      <c r="AP15" s="78" t="e">
        <f t="shared" si="11"/>
        <v>#REF!</v>
      </c>
      <c r="AQ15" s="78">
        <f t="shared" si="12"/>
        <v>-236573.36363636365</v>
      </c>
      <c r="AR15" s="78"/>
      <c r="AS15" s="250">
        <f aca="true" t="shared" si="23" ref="AS15:AT19">B15/P15</f>
        <v>0.797447829350508</v>
      </c>
      <c r="AT15" s="250">
        <f t="shared" si="23"/>
        <v>0.6862494639225496</v>
      </c>
      <c r="AU15" s="250">
        <f t="shared" si="14"/>
        <v>0.9376539549485063</v>
      </c>
      <c r="AV15" s="250">
        <f t="shared" si="14"/>
        <v>0.8305585961411663</v>
      </c>
      <c r="AW15" s="250">
        <f t="shared" si="14"/>
        <v>0.7903829445307835</v>
      </c>
      <c r="AX15" s="250">
        <f t="shared" si="14"/>
        <v>0.778843777072169</v>
      </c>
      <c r="AY15" s="250">
        <f t="shared" si="14"/>
        <v>0.7335890417645049</v>
      </c>
      <c r="AZ15" s="250">
        <f t="shared" si="14"/>
        <v>0.5584437423298294</v>
      </c>
    </row>
    <row r="16" spans="1:52" s="60" customFormat="1" ht="12.75">
      <c r="A16" s="89">
        <f>'[8]MONTH6'!$A11</f>
        <v>39609</v>
      </c>
      <c r="B16" s="51">
        <f>'[8]MONTH6'!B11</f>
        <v>37599.28</v>
      </c>
      <c r="C16" s="51">
        <f>'[8]MONTH6'!C11</f>
        <v>5698.21</v>
      </c>
      <c r="D16" s="51">
        <f>'[8]MONTH6'!D11</f>
        <v>45740.49</v>
      </c>
      <c r="E16" s="51">
        <f>'[8]MONTH6'!E11</f>
        <v>19849.52</v>
      </c>
      <c r="F16" s="51">
        <f>'[8]MONTH6'!F11</f>
        <v>23361.21</v>
      </c>
      <c r="G16" s="51">
        <f>'[8]MONTH6'!G11</f>
        <v>1008.47</v>
      </c>
      <c r="H16" s="51">
        <f>'[8]MONTH6'!H11</f>
        <v>10799.63</v>
      </c>
      <c r="I16" s="51">
        <f>'[8]MONTH6'!I11</f>
        <v>3225.81</v>
      </c>
      <c r="J16" s="78">
        <f t="shared" si="15"/>
        <v>147282.62</v>
      </c>
      <c r="K16" s="52">
        <f>'[8]MONTH6'!J11</f>
        <v>50146.47999999999</v>
      </c>
      <c r="L16" s="52">
        <f>'[8]MONTH6'!K11</f>
        <v>146421</v>
      </c>
      <c r="M16" s="78">
        <f t="shared" si="16"/>
        <v>343850.1</v>
      </c>
      <c r="N16" s="52">
        <f>'[8]MONTH6'!L11</f>
        <v>200567</v>
      </c>
      <c r="O16" s="64">
        <f t="shared" si="17"/>
        <v>1.7143902037723053</v>
      </c>
      <c r="P16" s="78">
        <f>$X$3/$X$5*($P$1/$X$1)</f>
        <v>39620.15925948783</v>
      </c>
      <c r="Q16" s="78">
        <f t="shared" si="1"/>
        <v>9618.921903806382</v>
      </c>
      <c r="R16" s="78">
        <f t="shared" si="2"/>
        <v>43231.43925972791</v>
      </c>
      <c r="S16" s="78">
        <f t="shared" si="3"/>
        <v>23533.4750501792</v>
      </c>
      <c r="T16" s="78">
        <f t="shared" si="4"/>
        <v>24552.63000585178</v>
      </c>
      <c r="U16" s="78">
        <f t="shared" si="5"/>
        <v>1189.7251121185227</v>
      </c>
      <c r="V16" s="78">
        <f t="shared" si="6"/>
        <v>10908.464473176919</v>
      </c>
      <c r="W16" s="78">
        <f t="shared" si="20"/>
        <v>4462.902546999987</v>
      </c>
      <c r="X16" s="78">
        <f>SUM(P16:W16)</f>
        <v>157117.71761134855</v>
      </c>
      <c r="Y16" s="78">
        <f t="shared" si="21"/>
        <v>110204.54545454546</v>
      </c>
      <c r="Z16" s="78">
        <f t="shared" si="18"/>
        <v>90704.54545454546</v>
      </c>
      <c r="AA16" s="78">
        <f>SUM(Y16:Z16)</f>
        <v>200909.0909090909</v>
      </c>
      <c r="AB16" s="78">
        <f t="shared" si="22"/>
        <v>383136.36363636365</v>
      </c>
      <c r="AC16" s="76">
        <f t="shared" si="19"/>
        <v>0.5243801162652746</v>
      </c>
      <c r="AD16" s="77"/>
      <c r="AE16" s="78">
        <f aca="true" t="shared" si="24" ref="AE16:AL16">B16-P16</f>
        <v>-2020.8792594878323</v>
      </c>
      <c r="AF16" s="51">
        <f t="shared" si="24"/>
        <v>-3920.711903806382</v>
      </c>
      <c r="AG16" s="51">
        <f t="shared" si="24"/>
        <v>2509.0507402720905</v>
      </c>
      <c r="AH16" s="51">
        <f t="shared" si="24"/>
        <v>-3683.9550501792</v>
      </c>
      <c r="AI16" s="51">
        <f t="shared" si="24"/>
        <v>-1191.4200058517818</v>
      </c>
      <c r="AJ16" s="51">
        <f t="shared" si="24"/>
        <v>-181.25511211852267</v>
      </c>
      <c r="AK16" s="51">
        <f t="shared" si="24"/>
        <v>-108.83447317691935</v>
      </c>
      <c r="AL16" s="51">
        <f t="shared" si="24"/>
        <v>-1237.092546999987</v>
      </c>
      <c r="AM16" s="78">
        <f t="shared" si="9"/>
        <v>-9835.097611348536</v>
      </c>
      <c r="AN16" s="78">
        <f t="shared" si="10"/>
        <v>-60058.06545454547</v>
      </c>
      <c r="AO16" s="78">
        <f t="shared" si="10"/>
        <v>55716.454545454544</v>
      </c>
      <c r="AP16" s="78">
        <f t="shared" si="11"/>
        <v>-14176.708520439453</v>
      </c>
      <c r="AQ16" s="78">
        <f t="shared" si="12"/>
        <v>-182569.36363636365</v>
      </c>
      <c r="AR16" s="78"/>
      <c r="AS16" s="250">
        <f t="shared" si="23"/>
        <v>0.9489936613769695</v>
      </c>
      <c r="AT16" s="250">
        <f t="shared" si="23"/>
        <v>0.5923959105796581</v>
      </c>
      <c r="AU16" s="250">
        <f t="shared" si="14"/>
        <v>1.0580376407363654</v>
      </c>
      <c r="AV16" s="250">
        <f t="shared" si="14"/>
        <v>0.8434589433849402</v>
      </c>
      <c r="AW16" s="250">
        <f t="shared" si="14"/>
        <v>0.951474851958107</v>
      </c>
      <c r="AX16" s="250">
        <f t="shared" si="14"/>
        <v>0.8476495870581694</v>
      </c>
      <c r="AY16" s="250">
        <f t="shared" si="14"/>
        <v>0.990022933709457</v>
      </c>
      <c r="AZ16" s="250">
        <f t="shared" si="14"/>
        <v>0.7228053864112326</v>
      </c>
    </row>
    <row r="17" spans="1:52" s="60" customFormat="1" ht="12.75">
      <c r="A17" s="89">
        <f>'[8]MONTH6'!$A12</f>
        <v>39610</v>
      </c>
      <c r="B17" s="51">
        <f>'[8]MONTH6'!B12</f>
        <v>32093.87</v>
      </c>
      <c r="C17" s="51">
        <f>'[8]MONTH6'!C12</f>
        <v>5323.06</v>
      </c>
      <c r="D17" s="51">
        <f>'[8]MONTH6'!D12</f>
        <v>39086.04</v>
      </c>
      <c r="E17" s="51">
        <f>'[8]MONTH6'!E12</f>
        <v>18805.13</v>
      </c>
      <c r="F17" s="51">
        <f>'[8]MONTH6'!F12</f>
        <v>22793.11</v>
      </c>
      <c r="G17" s="51">
        <f>'[8]MONTH6'!G12</f>
        <v>1148.8</v>
      </c>
      <c r="H17" s="51">
        <f>'[8]MONTH6'!H12</f>
        <v>9420.46</v>
      </c>
      <c r="I17" s="51">
        <f>'[8]MONTH6'!I12</f>
        <v>2133.72</v>
      </c>
      <c r="J17" s="78">
        <f t="shared" si="15"/>
        <v>130804.19</v>
      </c>
      <c r="K17" s="52">
        <f>'[8]MONTH6'!J12</f>
        <v>58227.25999999999</v>
      </c>
      <c r="L17" s="52">
        <f>'[8]MONTH6'!K12</f>
        <v>152456</v>
      </c>
      <c r="M17" s="78">
        <f t="shared" si="16"/>
        <v>341487.44999999995</v>
      </c>
      <c r="N17" s="52">
        <f>'[8]MONTH6'!L12</f>
        <v>0</v>
      </c>
      <c r="O17" s="64" t="e">
        <f t="shared" si="17"/>
        <v>#DIV/0!</v>
      </c>
      <c r="P17" s="78">
        <f>$X$3/$X$5*($P$1/$X$1)</f>
        <v>39620.15925948783</v>
      </c>
      <c r="Q17" s="78">
        <f>$X$3/$X$5*($Q$1/$X$1)</f>
        <v>9618.921903806382</v>
      </c>
      <c r="R17" s="78">
        <f>$X$3/$X$5*($R$1/$X$1)</f>
        <v>43231.43925972791</v>
      </c>
      <c r="S17" s="78">
        <f>$X$3/$X$5*($S$1/$X$1)</f>
        <v>23533.4750501792</v>
      </c>
      <c r="T17" s="78">
        <f>$X$3/$X$5*($T$1/$X$1)</f>
        <v>24552.63000585178</v>
      </c>
      <c r="U17" s="78">
        <f>$X$3/$X$5*($U$1/$X$1)</f>
        <v>1189.7251121185227</v>
      </c>
      <c r="V17" s="78">
        <f>$X$3/$X$5*($V$1/$X$1)</f>
        <v>10908.464473176919</v>
      </c>
      <c r="W17" s="78">
        <f>$X$3/$X$5*($W$1/$X$1)</f>
        <v>4462.902546999987</v>
      </c>
      <c r="X17" s="78">
        <f>SUM(P17:W17)</f>
        <v>157117.71761134855</v>
      </c>
      <c r="Y17" s="78">
        <f>$Y$3/$X$5</f>
        <v>110204.54545454546</v>
      </c>
      <c r="Z17" s="78">
        <f>$Z$3/$X$5</f>
        <v>90704.54545454546</v>
      </c>
      <c r="AA17" s="78">
        <f>SUM(X17:Z17)</f>
        <v>358026.8085204395</v>
      </c>
      <c r="AB17" s="78">
        <f>$AB$3/$X$5</f>
        <v>383136.36363636365</v>
      </c>
      <c r="AC17" s="76">
        <f>AA17/AB17</f>
        <v>0.9344631376734688</v>
      </c>
      <c r="AD17" s="77"/>
      <c r="AE17" s="78">
        <f aca="true" t="shared" si="25" ref="AE17:AF19">B17-P17</f>
        <v>-7526.289259487832</v>
      </c>
      <c r="AF17" s="51">
        <f t="shared" si="25"/>
        <v>-4295.861903806382</v>
      </c>
      <c r="AG17" s="51">
        <f t="shared" si="8"/>
        <v>-4145.399259727907</v>
      </c>
      <c r="AH17" s="51">
        <f t="shared" si="8"/>
        <v>-4728.3450501791995</v>
      </c>
      <c r="AI17" s="51">
        <f t="shared" si="8"/>
        <v>-1759.5200058517803</v>
      </c>
      <c r="AJ17" s="51">
        <f t="shared" si="8"/>
        <v>-40.92511211852275</v>
      </c>
      <c r="AK17" s="51">
        <f t="shared" si="8"/>
        <v>-1488.0044731769194</v>
      </c>
      <c r="AL17" s="51">
        <f t="shared" si="8"/>
        <v>-2329.182546999987</v>
      </c>
      <c r="AM17" s="78">
        <f t="shared" si="9"/>
        <v>-26313.527611348527</v>
      </c>
      <c r="AN17" s="78">
        <f t="shared" si="10"/>
        <v>-51977.28545454547</v>
      </c>
      <c r="AO17" s="78">
        <f t="shared" si="10"/>
        <v>61751.454545454544</v>
      </c>
      <c r="AP17" s="78">
        <f t="shared" si="11"/>
        <v>-16539.358520439448</v>
      </c>
      <c r="AQ17" s="78">
        <f t="shared" si="12"/>
        <v>-383136.36363636365</v>
      </c>
      <c r="AR17" s="78">
        <f>AP17/AQ17</f>
        <v>0.04316833401941723</v>
      </c>
      <c r="AS17" s="250">
        <f t="shared" si="23"/>
        <v>0.8100388943367128</v>
      </c>
      <c r="AT17" s="250">
        <f t="shared" si="23"/>
        <v>0.5533946582821895</v>
      </c>
      <c r="AU17" s="250">
        <f t="shared" si="14"/>
        <v>0.9041114677024057</v>
      </c>
      <c r="AV17" s="250">
        <f t="shared" si="14"/>
        <v>0.7990800321628151</v>
      </c>
      <c r="AW17" s="250">
        <f t="shared" si="14"/>
        <v>0.9283368011723215</v>
      </c>
      <c r="AX17" s="250">
        <f t="shared" si="14"/>
        <v>0.9656012034194621</v>
      </c>
      <c r="AY17" s="250">
        <f t="shared" si="14"/>
        <v>0.8635917569483946</v>
      </c>
      <c r="AZ17" s="250">
        <f t="shared" si="14"/>
        <v>0.4781014099073954</v>
      </c>
    </row>
    <row r="18" spans="1:85" s="95" customFormat="1" ht="12.75">
      <c r="A18" s="89">
        <f>'[8]MONTH6'!$A13</f>
        <v>39611</v>
      </c>
      <c r="B18" s="51">
        <f>'[8]MONTH6'!B13</f>
        <v>39519.83</v>
      </c>
      <c r="C18" s="51">
        <f>'[8]MONTH6'!C13</f>
        <v>6940.92</v>
      </c>
      <c r="D18" s="51">
        <f>'[8]MONTH6'!D13</f>
        <v>29971.41</v>
      </c>
      <c r="E18" s="51">
        <f>'[8]MONTH6'!E13</f>
        <v>22478.86</v>
      </c>
      <c r="F18" s="51">
        <f>'[8]MONTH6'!F13</f>
        <v>21845.69</v>
      </c>
      <c r="G18" s="51">
        <f>'[8]MONTH6'!G13</f>
        <v>1362.19</v>
      </c>
      <c r="H18" s="51">
        <f>'[8]MONTH6'!H13</f>
        <v>6685.42</v>
      </c>
      <c r="I18" s="51">
        <f>'[8]MONTH6'!I13</f>
        <v>2725.56</v>
      </c>
      <c r="J18" s="78">
        <f t="shared" si="15"/>
        <v>131529.88</v>
      </c>
      <c r="K18" s="52">
        <f>'[8]MONTH6'!J13</f>
        <v>65108.15999999996</v>
      </c>
      <c r="L18" s="52">
        <f>'[8]MONTH6'!K13</f>
        <v>90954</v>
      </c>
      <c r="M18" s="78">
        <f t="shared" si="16"/>
        <v>287592.04</v>
      </c>
      <c r="N18" s="52">
        <f>'[8]MONTH6'!L13</f>
        <v>380709</v>
      </c>
      <c r="O18" s="64">
        <f t="shared" si="17"/>
        <v>0.7554117186617599</v>
      </c>
      <c r="P18" s="78">
        <f>$X$3/$X$5*($P$1/$X$1)</f>
        <v>39620.15925948783</v>
      </c>
      <c r="Q18" s="78">
        <f>$X$3/$X$5*($Q$1/$X$1)</f>
        <v>9618.921903806382</v>
      </c>
      <c r="R18" s="78">
        <f>$X$3/$X$5*($R$1/$X$1)</f>
        <v>43231.43925972791</v>
      </c>
      <c r="S18" s="78">
        <f>$X$3/$X$5*($S$1/$X$1)</f>
        <v>23533.4750501792</v>
      </c>
      <c r="T18" s="78">
        <f>$X$3/$X$5*($T$1/$X$1)</f>
        <v>24552.63000585178</v>
      </c>
      <c r="U18" s="78">
        <f>$X$3/$X$5*($U$1/$X$1)</f>
        <v>1189.7251121185227</v>
      </c>
      <c r="V18" s="78">
        <f>$X$3/$X$5*($V$1/$X$1)</f>
        <v>10908.464473176919</v>
      </c>
      <c r="W18" s="78">
        <f>$X$3/$X$5*($W$1/$X$1)</f>
        <v>4462.902546999987</v>
      </c>
      <c r="X18" s="78">
        <f>SUM(P18:W18)</f>
        <v>157117.71761134855</v>
      </c>
      <c r="Y18" s="78">
        <f>$Y$3/$X$5</f>
        <v>110204.54545454546</v>
      </c>
      <c r="Z18" s="78">
        <f>$Z$3/$X$5</f>
        <v>90704.54545454546</v>
      </c>
      <c r="AA18" s="78">
        <f>SUM(X18:Z18)</f>
        <v>358026.8085204395</v>
      </c>
      <c r="AB18" s="78">
        <f>$AB$3/$X$5</f>
        <v>383136.36363636365</v>
      </c>
      <c r="AC18" s="76">
        <f>AA18/AB18</f>
        <v>0.9344631376734688</v>
      </c>
      <c r="AD18" s="77"/>
      <c r="AE18" s="78">
        <f t="shared" si="25"/>
        <v>-100.3292594878294</v>
      </c>
      <c r="AF18" s="51">
        <f t="shared" si="25"/>
        <v>-2678.001903806382</v>
      </c>
      <c r="AG18" s="51">
        <f t="shared" si="8"/>
        <v>-13260.029259727908</v>
      </c>
      <c r="AH18" s="51">
        <f t="shared" si="8"/>
        <v>-1054.6150501792</v>
      </c>
      <c r="AI18" s="51">
        <f t="shared" si="8"/>
        <v>-2706.940005851782</v>
      </c>
      <c r="AJ18" s="51">
        <f t="shared" si="8"/>
        <v>172.46488788147735</v>
      </c>
      <c r="AK18" s="51">
        <f t="shared" si="8"/>
        <v>-4223.0444731769185</v>
      </c>
      <c r="AL18" s="51">
        <f t="shared" si="8"/>
        <v>-1737.342546999987</v>
      </c>
      <c r="AM18" s="78">
        <f t="shared" si="9"/>
        <v>-25587.83761134853</v>
      </c>
      <c r="AN18" s="78">
        <f t="shared" si="10"/>
        <v>-45096.385454545496</v>
      </c>
      <c r="AO18" s="78">
        <f t="shared" si="10"/>
        <v>249.45454545454413</v>
      </c>
      <c r="AP18" s="78">
        <f t="shared" si="11"/>
        <v>-70434.76852043948</v>
      </c>
      <c r="AQ18" s="78">
        <f t="shared" si="12"/>
        <v>-2427.363636363647</v>
      </c>
      <c r="AR18" s="91">
        <f>AP18/AQ18</f>
        <v>29.016982649519903</v>
      </c>
      <c r="AS18" s="250">
        <f t="shared" si="23"/>
        <v>0.997467721953596</v>
      </c>
      <c r="AT18" s="250">
        <f t="shared" si="23"/>
        <v>0.7215902228349886</v>
      </c>
      <c r="AU18" s="250">
        <f t="shared" si="14"/>
        <v>0.6932780983750351</v>
      </c>
      <c r="AV18" s="250">
        <f t="shared" si="14"/>
        <v>0.9551865991771084</v>
      </c>
      <c r="AW18" s="250">
        <f t="shared" si="14"/>
        <v>0.8897494889465356</v>
      </c>
      <c r="AX18" s="250">
        <f t="shared" si="14"/>
        <v>1.1449619631667454</v>
      </c>
      <c r="AY18" s="250">
        <f t="shared" si="14"/>
        <v>0.612865359413228</v>
      </c>
      <c r="AZ18" s="250">
        <f t="shared" si="14"/>
        <v>0.6107146573998466</v>
      </c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5" s="95" customFormat="1" ht="12.75">
      <c r="A19" s="89">
        <f>'[8]MONTH6'!$A14</f>
        <v>39612</v>
      </c>
      <c r="B19" s="51">
        <f>'[8]MONTH6'!B14</f>
        <v>44056.18</v>
      </c>
      <c r="C19" s="51">
        <f>'[8]MONTH6'!C14</f>
        <v>8453.36</v>
      </c>
      <c r="D19" s="51">
        <f>'[8]MONTH6'!D14</f>
        <v>30083.81</v>
      </c>
      <c r="E19" s="51">
        <f>'[8]MONTH6'!E14</f>
        <v>16200.35</v>
      </c>
      <c r="F19" s="51">
        <f>'[8]MONTH6'!F14</f>
        <v>21517.42</v>
      </c>
      <c r="G19" s="51">
        <f>'[8]MONTH6'!G14</f>
        <v>1020.18</v>
      </c>
      <c r="H19" s="51">
        <f>'[8]MONTH6'!H14</f>
        <v>7994.49</v>
      </c>
      <c r="I19" s="51">
        <f>'[8]MONTH6'!I14</f>
        <v>3309.01</v>
      </c>
      <c r="J19" s="78">
        <f t="shared" si="15"/>
        <v>132634.80000000002</v>
      </c>
      <c r="K19" s="52">
        <f>'[8]MONTH6'!J14</f>
        <v>52052.54000000004</v>
      </c>
      <c r="L19" s="52">
        <f>'[8]MONTH6'!K14</f>
        <v>71480</v>
      </c>
      <c r="M19" s="78">
        <f t="shared" si="16"/>
        <v>256167.34000000005</v>
      </c>
      <c r="N19" s="52">
        <f>'[8]MONTH6'!L14</f>
        <v>217643</v>
      </c>
      <c r="O19" s="64">
        <f t="shared" si="17"/>
        <v>1.177007025266147</v>
      </c>
      <c r="P19" s="78">
        <f>$X$3/$X$5*($P$1/$X$1)</f>
        <v>39620.15925948783</v>
      </c>
      <c r="Q19" s="78">
        <f>$X$3/$X$5*($Q$1/$X$1)</f>
        <v>9618.921903806382</v>
      </c>
      <c r="R19" s="78">
        <f>$X$3/$X$5*($R$1/$X$1)</f>
        <v>43231.43925972791</v>
      </c>
      <c r="S19" s="78">
        <f>$X$3/$X$5*($S$1/$X$1)</f>
        <v>23533.4750501792</v>
      </c>
      <c r="T19" s="78">
        <f>$X$3/$X$5*($T$1/$X$1)</f>
        <v>24552.63000585178</v>
      </c>
      <c r="U19" s="78">
        <f>$X$3/$X$5*($U$1/$X$1)</f>
        <v>1189.7251121185227</v>
      </c>
      <c r="V19" s="78">
        <f>$X$3/$X$5*($V$1/$X$1)</f>
        <v>10908.464473176919</v>
      </c>
      <c r="W19" s="78">
        <f>$X$3/$X$5*($W$1/$X$1)</f>
        <v>4462.902546999987</v>
      </c>
      <c r="X19" s="78">
        <f>SUM(P19:W19)</f>
        <v>157117.71761134855</v>
      </c>
      <c r="Y19" s="78">
        <f>$Y$3/$X$5</f>
        <v>110204.54545454546</v>
      </c>
      <c r="Z19" s="78">
        <f>$Z$3/$X$5</f>
        <v>90704.54545454546</v>
      </c>
      <c r="AA19" s="78">
        <f>SUM(X19:Z19)</f>
        <v>358026.8085204395</v>
      </c>
      <c r="AB19" s="78">
        <f>$AB$3/$X$5</f>
        <v>383136.36363636365</v>
      </c>
      <c r="AC19" s="76">
        <f>AA19/AB19</f>
        <v>0.9344631376734688</v>
      </c>
      <c r="AD19" s="77"/>
      <c r="AE19" s="78">
        <f t="shared" si="25"/>
        <v>4436.020740512169</v>
      </c>
      <c r="AF19" s="51">
        <f t="shared" si="25"/>
        <v>-1165.5619038063815</v>
      </c>
      <c r="AG19" s="51">
        <f t="shared" si="8"/>
        <v>-13147.629259727906</v>
      </c>
      <c r="AH19" s="51">
        <f t="shared" si="8"/>
        <v>-7333.1250501792</v>
      </c>
      <c r="AI19" s="51">
        <f t="shared" si="8"/>
        <v>-3035.2100058517826</v>
      </c>
      <c r="AJ19" s="51">
        <f t="shared" si="8"/>
        <v>-169.54511211852275</v>
      </c>
      <c r="AK19" s="51">
        <f t="shared" si="8"/>
        <v>-2913.9744731769188</v>
      </c>
      <c r="AL19" s="51">
        <f t="shared" si="8"/>
        <v>-1153.8925469999867</v>
      </c>
      <c r="AM19" s="78">
        <f t="shared" si="9"/>
        <v>-24482.91761134853</v>
      </c>
      <c r="AN19" s="78">
        <f t="shared" si="10"/>
        <v>-58152.00545454542</v>
      </c>
      <c r="AO19" s="78">
        <f t="shared" si="10"/>
        <v>-19224.545454545456</v>
      </c>
      <c r="AP19" s="78">
        <f t="shared" si="11"/>
        <v>-101859.4685204394</v>
      </c>
      <c r="AQ19" s="78">
        <f t="shared" si="12"/>
        <v>-165493.36363636365</v>
      </c>
      <c r="AR19" s="91">
        <f>AP19/AQ19</f>
        <v>0.6154897470345327</v>
      </c>
      <c r="AS19" s="250">
        <f t="shared" si="23"/>
        <v>1.1119637281480608</v>
      </c>
      <c r="AT19" s="250">
        <f t="shared" si="23"/>
        <v>0.878826139201198</v>
      </c>
      <c r="AU19" s="250">
        <f t="shared" si="14"/>
        <v>0.6958780580785444</v>
      </c>
      <c r="AV19" s="250">
        <f t="shared" si="14"/>
        <v>0.6883959961483308</v>
      </c>
      <c r="AW19" s="250">
        <f t="shared" si="14"/>
        <v>0.8763794344993435</v>
      </c>
      <c r="AX19" s="250">
        <f t="shared" si="14"/>
        <v>0.8574921968179551</v>
      </c>
      <c r="AY19" s="250">
        <f t="shared" si="14"/>
        <v>0.7328703338272623</v>
      </c>
      <c r="AZ19" s="250">
        <f t="shared" si="14"/>
        <v>0.7414479624307176</v>
      </c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52" s="206" customFormat="1" ht="12.75">
      <c r="A20" s="199">
        <f>'[8]MONTH6'!$A15</f>
        <v>39613</v>
      </c>
      <c r="B20" s="200">
        <f>'[8]MONTH6'!B15</f>
        <v>19849.92</v>
      </c>
      <c r="C20" s="200">
        <f>'[8]MONTH6'!C15</f>
        <v>7644.43</v>
      </c>
      <c r="D20" s="200">
        <f>'[8]MONTH6'!D15</f>
        <v>12306.1</v>
      </c>
      <c r="E20" s="200">
        <f>'[8]MONTH6'!E15</f>
        <v>7610.72</v>
      </c>
      <c r="F20" s="200">
        <f>'[8]MONTH6'!F15</f>
        <v>10750.57</v>
      </c>
      <c r="G20" s="200">
        <f>'[8]MONTH6'!G15</f>
        <v>298.14</v>
      </c>
      <c r="H20" s="200">
        <f>'[8]MONTH6'!H15</f>
        <v>1916.78</v>
      </c>
      <c r="I20" s="200">
        <f>'[8]MONTH6'!I15</f>
        <v>1316.9</v>
      </c>
      <c r="J20" s="202">
        <f>SUM(B20:I20)</f>
        <v>61693.56</v>
      </c>
      <c r="K20" s="201">
        <f>'[8]MONTH6'!J15</f>
        <v>31773.280000000006</v>
      </c>
      <c r="L20" s="201">
        <f>'[8]MONTH6'!K15</f>
        <v>22464</v>
      </c>
      <c r="M20" s="202">
        <f>SUM(J20:L20)</f>
        <v>115930.84</v>
      </c>
      <c r="N20" s="201">
        <f>'[8]MONTH6'!L15</f>
        <v>0</v>
      </c>
      <c r="O20" s="203" t="e">
        <f>M20/N20</f>
        <v>#DIV/0!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51"/>
      <c r="AT20" s="251"/>
      <c r="AU20" s="251"/>
      <c r="AV20" s="251"/>
      <c r="AW20" s="251"/>
      <c r="AX20" s="251"/>
      <c r="AY20" s="251"/>
      <c r="AZ20" s="251"/>
    </row>
    <row r="21" spans="1:52" s="206" customFormat="1" ht="12.75">
      <c r="A21" s="199">
        <f>'[8]MONTH6'!$A16</f>
        <v>39614</v>
      </c>
      <c r="B21" s="200">
        <f>'[8]MONTH6'!B16</f>
        <v>14845.37</v>
      </c>
      <c r="C21" s="200">
        <f>'[8]MONTH6'!C16</f>
        <v>8054.77</v>
      </c>
      <c r="D21" s="200">
        <f>'[8]MONTH6'!D16</f>
        <v>7178.33</v>
      </c>
      <c r="E21" s="200">
        <f>'[8]MONTH6'!E16</f>
        <v>7135.22</v>
      </c>
      <c r="F21" s="200">
        <f>'[8]MONTH6'!F16</f>
        <v>7109.87</v>
      </c>
      <c r="G21" s="200">
        <f>'[8]MONTH6'!G16</f>
        <v>198.76</v>
      </c>
      <c r="H21" s="200">
        <f>'[8]MONTH6'!H16</f>
        <v>2516.79</v>
      </c>
      <c r="I21" s="200">
        <f>'[8]MONTH6'!I16</f>
        <v>0</v>
      </c>
      <c r="J21" s="202">
        <f>SUM(B21:I21)</f>
        <v>47039.11000000001</v>
      </c>
      <c r="K21" s="201">
        <f>'[8]MONTH6'!J16</f>
        <v>20880.509999999995</v>
      </c>
      <c r="L21" s="201">
        <f>'[8]MONTH6'!K16</f>
        <v>0</v>
      </c>
      <c r="M21" s="202">
        <f>SUM(J21:L21)</f>
        <v>67919.62</v>
      </c>
      <c r="N21" s="201">
        <f>'[8]MONTH6'!L16</f>
        <v>0</v>
      </c>
      <c r="O21" s="203" t="e">
        <f>M21/N21</f>
        <v>#DIV/0!</v>
      </c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51"/>
      <c r="AT21" s="251"/>
      <c r="AU21" s="251"/>
      <c r="AV21" s="251"/>
      <c r="AW21" s="251"/>
      <c r="AX21" s="251"/>
      <c r="AY21" s="251"/>
      <c r="AZ21" s="251"/>
    </row>
    <row r="22" spans="1:52" s="60" customFormat="1" ht="12.75">
      <c r="A22" s="89">
        <f>'[8]MONTH6'!$A17</f>
        <v>39615</v>
      </c>
      <c r="B22" s="51">
        <f>'[8]MONTH6'!B17</f>
        <v>32591.11</v>
      </c>
      <c r="C22" s="51">
        <f>'[8]MONTH6'!C17</f>
        <v>5416.81</v>
      </c>
      <c r="D22" s="51">
        <f>'[8]MONTH6'!D17</f>
        <v>35616.42</v>
      </c>
      <c r="E22" s="51">
        <f>'[8]MONTH6'!E17</f>
        <v>23471.78</v>
      </c>
      <c r="F22" s="51">
        <f>'[8]MONTH6'!F17</f>
        <v>20955</v>
      </c>
      <c r="G22" s="51">
        <f>'[8]MONTH6'!G17</f>
        <v>1452.8</v>
      </c>
      <c r="H22" s="51">
        <f>'[8]MONTH6'!H17</f>
        <v>10597.03</v>
      </c>
      <c r="I22" s="51">
        <f>'[8]MONTH6'!I17</f>
        <v>3792.44</v>
      </c>
      <c r="J22" s="78">
        <f t="shared" si="15"/>
        <v>133893.38999999998</v>
      </c>
      <c r="K22" s="52">
        <f>'[8]MONTH6'!J17</f>
        <v>65802.46999999997</v>
      </c>
      <c r="L22" s="52">
        <f>'[8]MONTH6'!K17</f>
        <v>112818</v>
      </c>
      <c r="M22" s="78">
        <f t="shared" si="16"/>
        <v>312513.86</v>
      </c>
      <c r="N22" s="52">
        <f>'[8]MONTH6'!L17</f>
        <v>212390</v>
      </c>
      <c r="O22" s="64">
        <f t="shared" si="17"/>
        <v>1.4714151325391966</v>
      </c>
      <c r="P22" s="78">
        <f>$X$3/$X$5*($P$1/$X$1)</f>
        <v>39620.15925948783</v>
      </c>
      <c r="Q22" s="78">
        <f>$X$3/$X$5*($Q$1/$X$1)</f>
        <v>9618.921903806382</v>
      </c>
      <c r="R22" s="78">
        <f>$X$3/$X$5*($R$1/$X$1)</f>
        <v>43231.43925972791</v>
      </c>
      <c r="S22" s="78">
        <f>$X$3/$X$5*($S$1/$X$1)</f>
        <v>23533.4750501792</v>
      </c>
      <c r="T22" s="78">
        <f>$X$3/$X$5*($T$1/$X$1)</f>
        <v>24552.63000585178</v>
      </c>
      <c r="U22" s="78">
        <f>$X$3/$X$5*($U$1/$X$1)</f>
        <v>1189.7251121185227</v>
      </c>
      <c r="V22" s="78">
        <f>$X$3/$X$5*($V$1/$X$1)</f>
        <v>10908.464473176919</v>
      </c>
      <c r="W22" s="78">
        <f>$X$3/$X$5*($W$1/$X$1)</f>
        <v>4462.902546999987</v>
      </c>
      <c r="X22" s="62"/>
      <c r="Y22" s="62"/>
      <c r="Z22" s="62"/>
      <c r="AA22" s="62"/>
      <c r="AB22" s="62"/>
      <c r="AC22" s="76"/>
      <c r="AD22" s="77"/>
      <c r="AE22" s="78">
        <f aca="true" t="shared" si="26" ref="AE22:AF26">B22-P22</f>
        <v>-7029.049259487831</v>
      </c>
      <c r="AF22" s="51">
        <f t="shared" si="26"/>
        <v>-4202.111903806382</v>
      </c>
      <c r="AG22" s="51">
        <f t="shared" si="8"/>
        <v>-7615.019259727909</v>
      </c>
      <c r="AH22" s="51">
        <f t="shared" si="8"/>
        <v>-61.695050179201644</v>
      </c>
      <c r="AI22" s="51">
        <f t="shared" si="8"/>
        <v>-3597.630005851781</v>
      </c>
      <c r="AJ22" s="51">
        <f t="shared" si="8"/>
        <v>263.07488788147725</v>
      </c>
      <c r="AK22" s="51">
        <f t="shared" si="8"/>
        <v>-311.4344731769179</v>
      </c>
      <c r="AL22" s="51">
        <f t="shared" si="8"/>
        <v>-670.4625469999869</v>
      </c>
      <c r="AM22" s="78">
        <f aca="true" t="shared" si="27" ref="AM22:AM37">SUM(AE22:AL22)</f>
        <v>-23224.327611348534</v>
      </c>
      <c r="AN22" s="78">
        <f t="shared" si="10"/>
        <v>65802.46999999997</v>
      </c>
      <c r="AO22" s="78">
        <f t="shared" si="10"/>
        <v>112818</v>
      </c>
      <c r="AP22" s="78">
        <f t="shared" si="11"/>
        <v>155396.14238865144</v>
      </c>
      <c r="AQ22" s="78">
        <f t="shared" si="12"/>
        <v>212390</v>
      </c>
      <c r="AR22" s="78"/>
      <c r="AS22" s="250">
        <f aca="true" t="shared" si="28" ref="AS22:AT26">B22/P22</f>
        <v>0.8225890710470937</v>
      </c>
      <c r="AT22" s="250">
        <f t="shared" si="28"/>
        <v>0.5631410727907532</v>
      </c>
      <c r="AU22" s="250">
        <f t="shared" si="14"/>
        <v>0.8238545977158421</v>
      </c>
      <c r="AV22" s="250">
        <f t="shared" si="14"/>
        <v>0.9973784130882646</v>
      </c>
      <c r="AW22" s="250">
        <f t="shared" si="14"/>
        <v>0.8534727234925816</v>
      </c>
      <c r="AX22" s="250">
        <f t="shared" si="14"/>
        <v>1.2211224132379828</v>
      </c>
      <c r="AY22" s="250">
        <f t="shared" si="14"/>
        <v>0.9714502005353081</v>
      </c>
      <c r="AZ22" s="250">
        <f t="shared" si="14"/>
        <v>0.8497698437420106</v>
      </c>
    </row>
    <row r="23" spans="1:52" s="60" customFormat="1" ht="12.75">
      <c r="A23" s="89">
        <f>'[8]MONTH6'!$A18</f>
        <v>39616</v>
      </c>
      <c r="B23" s="51">
        <f>'[8]MONTH6'!B18</f>
        <v>35149.26</v>
      </c>
      <c r="C23" s="51">
        <f>'[8]MONTH6'!C18</f>
        <v>7538.92</v>
      </c>
      <c r="D23" s="51">
        <f>'[8]MONTH6'!D18</f>
        <v>38505.11</v>
      </c>
      <c r="E23" s="51">
        <f>'[8]MONTH6'!E18</f>
        <v>23478.25</v>
      </c>
      <c r="F23" s="51">
        <f>'[8]MONTH6'!F18</f>
        <v>20330.39</v>
      </c>
      <c r="G23" s="51">
        <f>'[8]MONTH6'!G18</f>
        <v>1224.81</v>
      </c>
      <c r="H23" s="51">
        <f>'[8]MONTH6'!H18</f>
        <v>12217.74</v>
      </c>
      <c r="I23" s="51">
        <f>'[8]MONTH6'!I18</f>
        <v>3358.97</v>
      </c>
      <c r="J23" s="78">
        <f t="shared" si="15"/>
        <v>141803.45</v>
      </c>
      <c r="K23" s="52">
        <f>'[8]MONTH6'!J18</f>
        <v>67141.35999999996</v>
      </c>
      <c r="L23" s="52">
        <f>'[8]MONTH6'!K18</f>
        <v>109948</v>
      </c>
      <c r="M23" s="78">
        <f t="shared" si="16"/>
        <v>318892.80999999994</v>
      </c>
      <c r="N23" s="52">
        <f>'[8]MONTH6'!L18</f>
        <v>370154</v>
      </c>
      <c r="O23" s="64">
        <f t="shared" si="17"/>
        <v>0.8615138834106884</v>
      </c>
      <c r="P23" s="78">
        <f>$X$3/$X$5*($P$1/$X$1)</f>
        <v>39620.15925948783</v>
      </c>
      <c r="Q23" s="78">
        <f>$X$3/$X$5*($Q$1/$X$1)</f>
        <v>9618.921903806382</v>
      </c>
      <c r="R23" s="78">
        <f>$X$3/$X$5*($R$1/$X$1)</f>
        <v>43231.43925972791</v>
      </c>
      <c r="S23" s="78">
        <f>$X$3/$X$5*($S$1/$X$1)</f>
        <v>23533.4750501792</v>
      </c>
      <c r="T23" s="78">
        <f>$X$3/$X$5*($T$1/$X$1)</f>
        <v>24552.63000585178</v>
      </c>
      <c r="U23" s="78">
        <f>$X$3/$X$5*($U$1/$X$1)</f>
        <v>1189.7251121185227</v>
      </c>
      <c r="V23" s="78">
        <f>$X$3/$X$5*($V$1/$X$1)</f>
        <v>10908.464473176919</v>
      </c>
      <c r="W23" s="78">
        <f>$X$3/$X$5*($W$1/$X$1)</f>
        <v>4462.902546999987</v>
      </c>
      <c r="X23" s="78">
        <f>SUM(P23:W23)</f>
        <v>157117.71761134855</v>
      </c>
      <c r="Y23" s="78">
        <f>$Y$3/$X$5</f>
        <v>110204.54545454546</v>
      </c>
      <c r="Z23" s="78">
        <f>$Z$3/$X$5</f>
        <v>90704.54545454546</v>
      </c>
      <c r="AA23" s="78">
        <f>SUM(X23:Z23)</f>
        <v>358026.8085204395</v>
      </c>
      <c r="AB23" s="78">
        <f>$AB$3/$X$5</f>
        <v>383136.36363636365</v>
      </c>
      <c r="AC23" s="76">
        <f>AA23/AB23</f>
        <v>0.9344631376734688</v>
      </c>
      <c r="AD23" s="77"/>
      <c r="AE23" s="78">
        <f t="shared" si="26"/>
        <v>-4470.899259487829</v>
      </c>
      <c r="AF23" s="51">
        <f t="shared" si="26"/>
        <v>-2080.001903806382</v>
      </c>
      <c r="AG23" s="51">
        <f aca="true" t="shared" si="29" ref="AG23:AL26">D23-R23</f>
        <v>-4726.329259727907</v>
      </c>
      <c r="AH23" s="51">
        <f t="shared" si="29"/>
        <v>-55.22505017920048</v>
      </c>
      <c r="AI23" s="51">
        <f t="shared" si="29"/>
        <v>-4222.2400058517815</v>
      </c>
      <c r="AJ23" s="51">
        <f t="shared" si="29"/>
        <v>35.08488788147724</v>
      </c>
      <c r="AK23" s="51">
        <f t="shared" si="29"/>
        <v>1309.2755268230812</v>
      </c>
      <c r="AL23" s="51">
        <f t="shared" si="29"/>
        <v>-1103.9325469999872</v>
      </c>
      <c r="AM23" s="78">
        <f t="shared" si="27"/>
        <v>-15314.267611348529</v>
      </c>
      <c r="AN23" s="78">
        <f t="shared" si="10"/>
        <v>-43063.1854545455</v>
      </c>
      <c r="AO23" s="78">
        <f t="shared" si="10"/>
        <v>19243.454545454544</v>
      </c>
      <c r="AP23" s="78">
        <f t="shared" si="11"/>
        <v>-39133.99852043948</v>
      </c>
      <c r="AQ23" s="78">
        <f t="shared" si="12"/>
        <v>-12982.363636363647</v>
      </c>
      <c r="AR23" s="78"/>
      <c r="AS23" s="250">
        <f t="shared" si="28"/>
        <v>0.8871559493184726</v>
      </c>
      <c r="AT23" s="250">
        <f t="shared" si="28"/>
        <v>0.7837593521802805</v>
      </c>
      <c r="AU23" s="250">
        <f t="shared" si="14"/>
        <v>0.8906737934091706</v>
      </c>
      <c r="AV23" s="250">
        <f t="shared" si="14"/>
        <v>0.9976533406111318</v>
      </c>
      <c r="AW23" s="250">
        <f t="shared" si="14"/>
        <v>0.8280330862785181</v>
      </c>
      <c r="AX23" s="250">
        <f t="shared" si="14"/>
        <v>1.0294899111770468</v>
      </c>
      <c r="AY23" s="250">
        <f t="shared" si="14"/>
        <v>1.1200238154547315</v>
      </c>
      <c r="AZ23" s="250">
        <f t="shared" si="14"/>
        <v>0.7526424708193409</v>
      </c>
    </row>
    <row r="24" spans="1:52" s="60" customFormat="1" ht="12.75">
      <c r="A24" s="89">
        <f>'[8]MONTH6'!$A19</f>
        <v>39617</v>
      </c>
      <c r="B24" s="51">
        <f>'[8]MONTH6'!B19</f>
        <v>43565.15</v>
      </c>
      <c r="C24" s="51">
        <f>'[8]MONTH6'!C19</f>
        <v>4302.9</v>
      </c>
      <c r="D24" s="51">
        <f>'[8]MONTH6'!D19</f>
        <v>48055.69</v>
      </c>
      <c r="E24" s="51">
        <f>'[8]MONTH6'!E19</f>
        <v>21378.77</v>
      </c>
      <c r="F24" s="51">
        <f>'[8]MONTH6'!F19</f>
        <v>22583.74</v>
      </c>
      <c r="G24" s="51">
        <f>'[8]MONTH6'!G19</f>
        <v>967.54</v>
      </c>
      <c r="H24" s="51">
        <f>'[8]MONTH6'!H19</f>
        <v>12482.71</v>
      </c>
      <c r="I24" s="51">
        <f>'[8]MONTH6'!I19</f>
        <v>3675.59</v>
      </c>
      <c r="J24" s="78">
        <f t="shared" si="15"/>
        <v>157012.09</v>
      </c>
      <c r="K24" s="52">
        <f>'[8]MONTH6'!J19</f>
        <v>50004.31999999998</v>
      </c>
      <c r="L24" s="52">
        <f>'[8]MONTH6'!K19</f>
        <v>156135</v>
      </c>
      <c r="M24" s="78">
        <f t="shared" si="16"/>
        <v>363151.41</v>
      </c>
      <c r="N24" s="52">
        <f>'[8]MONTH6'!L19</f>
        <v>178401</v>
      </c>
      <c r="O24" s="64">
        <f t="shared" si="17"/>
        <v>2.0355906637294634</v>
      </c>
      <c r="P24" s="78">
        <f>$X$3/$X$5*($P$1/$X$1)</f>
        <v>39620.15925948783</v>
      </c>
      <c r="Q24" s="78">
        <f>$X$3/$X$5*($Q$1/$X$1)</f>
        <v>9618.921903806382</v>
      </c>
      <c r="R24" s="78">
        <f>$X$3/$X$5*($R$1/$X$1)</f>
        <v>43231.43925972791</v>
      </c>
      <c r="S24" s="78">
        <f>$X$3/$X$5*($S$1/$X$1)</f>
        <v>23533.4750501792</v>
      </c>
      <c r="T24" s="78">
        <f>$X$3/$X$5*($T$1/$X$1)</f>
        <v>24552.63000585178</v>
      </c>
      <c r="U24" s="78">
        <f>$X$3/$X$5*($U$1/$X$1)</f>
        <v>1189.7251121185227</v>
      </c>
      <c r="V24" s="78">
        <f>$X$3/$X$5*($V$1/$X$1)</f>
        <v>10908.464473176919</v>
      </c>
      <c r="W24" s="78">
        <f>$X$3/$X$5*($W$1/$X$1)</f>
        <v>4462.902546999987</v>
      </c>
      <c r="X24" s="78">
        <f>SUM(P24:W24)</f>
        <v>157117.71761134855</v>
      </c>
      <c r="Y24" s="78">
        <f>$Y$3/$X$5</f>
        <v>110204.54545454546</v>
      </c>
      <c r="Z24" s="78">
        <f>$Z$3/$X$5</f>
        <v>90704.54545454546</v>
      </c>
      <c r="AA24" s="78">
        <f>SUM(X24:Z24)</f>
        <v>358026.8085204395</v>
      </c>
      <c r="AB24" s="78">
        <f>$AB$3/$X$5</f>
        <v>383136.36363636365</v>
      </c>
      <c r="AC24" s="76">
        <f>AA24/AB24</f>
        <v>0.9344631376734688</v>
      </c>
      <c r="AD24" s="77"/>
      <c r="AE24" s="78">
        <f t="shared" si="26"/>
        <v>3944.9907405121703</v>
      </c>
      <c r="AF24" s="51">
        <f t="shared" si="26"/>
        <v>-5316.021903806382</v>
      </c>
      <c r="AG24" s="51">
        <f t="shared" si="29"/>
        <v>4824.250740272095</v>
      </c>
      <c r="AH24" s="51">
        <f t="shared" si="29"/>
        <v>-2154.7050501792</v>
      </c>
      <c r="AI24" s="51">
        <f t="shared" si="29"/>
        <v>-1968.8900058517793</v>
      </c>
      <c r="AJ24" s="51">
        <f t="shared" si="29"/>
        <v>-222.18511211852274</v>
      </c>
      <c r="AK24" s="51">
        <f t="shared" si="29"/>
        <v>1574.2455268230806</v>
      </c>
      <c r="AL24" s="51">
        <f t="shared" si="29"/>
        <v>-787.3125469999868</v>
      </c>
      <c r="AM24" s="78">
        <f t="shared" si="27"/>
        <v>-105.62761134852553</v>
      </c>
      <c r="AN24" s="78">
        <f t="shared" si="10"/>
        <v>-60200.22545454548</v>
      </c>
      <c r="AO24" s="78">
        <f t="shared" si="10"/>
        <v>65430.454545454544</v>
      </c>
      <c r="AP24" s="78">
        <f t="shared" si="11"/>
        <v>5124.601479560544</v>
      </c>
      <c r="AQ24" s="78">
        <f t="shared" si="12"/>
        <v>-204735.36363636365</v>
      </c>
      <c r="AR24" s="78">
        <f>AP24/AQ24</f>
        <v>-0.025030367927362542</v>
      </c>
      <c r="AS24" s="250">
        <f t="shared" si="28"/>
        <v>1.0995702898283395</v>
      </c>
      <c r="AT24" s="250">
        <f t="shared" si="28"/>
        <v>0.44733703454825474</v>
      </c>
      <c r="AU24" s="250">
        <f aca="true" t="shared" si="30" ref="AU24:AZ26">D24/R24</f>
        <v>1.1115912591132748</v>
      </c>
      <c r="AV24" s="250">
        <f t="shared" si="30"/>
        <v>0.9084408466839328</v>
      </c>
      <c r="AW24" s="250">
        <f t="shared" si="30"/>
        <v>0.9198094051275761</v>
      </c>
      <c r="AX24" s="250">
        <f t="shared" si="30"/>
        <v>0.8132466820651691</v>
      </c>
      <c r="AY24" s="250">
        <f t="shared" si="30"/>
        <v>1.1443141269510508</v>
      </c>
      <c r="AZ24" s="250">
        <f t="shared" si="30"/>
        <v>0.8235873316281067</v>
      </c>
    </row>
    <row r="25" spans="1:85" s="95" customFormat="1" ht="12.75">
      <c r="A25" s="89">
        <f>'[8]MONTH6'!$A20</f>
        <v>39618</v>
      </c>
      <c r="B25" s="51">
        <f>'[8]MONTH6'!B20</f>
        <v>47052.64</v>
      </c>
      <c r="C25" s="51">
        <f>'[8]MONTH6'!C20</f>
        <v>7116.84</v>
      </c>
      <c r="D25" s="51">
        <f>'[8]MONTH6'!D20</f>
        <v>43674.46</v>
      </c>
      <c r="E25" s="51">
        <f>'[8]MONTH6'!E20</f>
        <v>22530.36</v>
      </c>
      <c r="F25" s="51">
        <f>'[8]MONTH6'!F20</f>
        <v>20681.44</v>
      </c>
      <c r="G25" s="51">
        <f>'[8]MONTH6'!G20</f>
        <v>1128.3</v>
      </c>
      <c r="H25" s="51">
        <f>'[8]MONTH6'!H20</f>
        <v>11641.15</v>
      </c>
      <c r="I25" s="51">
        <f>'[8]MONTH6'!I20</f>
        <v>4225.74</v>
      </c>
      <c r="J25" s="78">
        <f t="shared" si="15"/>
        <v>158050.92999999996</v>
      </c>
      <c r="K25" s="52">
        <f>'[8]MONTH6'!J20</f>
        <v>76440.51999999993</v>
      </c>
      <c r="L25" s="52">
        <f>'[8]MONTH6'!K20</f>
        <v>131030</v>
      </c>
      <c r="M25" s="78">
        <f t="shared" si="16"/>
        <v>365521.4499999999</v>
      </c>
      <c r="N25" s="52">
        <f>'[8]MONTH6'!L20</f>
        <v>434460</v>
      </c>
      <c r="O25" s="64">
        <f t="shared" si="17"/>
        <v>0.8413235971090547</v>
      </c>
      <c r="P25" s="78">
        <f>$X$3/$X$5*($P$1/$X$1)</f>
        <v>39620.15925948783</v>
      </c>
      <c r="Q25" s="78">
        <f>$X$3/$X$5*($Q$1/$X$1)</f>
        <v>9618.921903806382</v>
      </c>
      <c r="R25" s="78">
        <f>$X$3/$X$5*($R$1/$X$1)</f>
        <v>43231.43925972791</v>
      </c>
      <c r="S25" s="78">
        <f>$X$3/$X$5*($S$1/$X$1)</f>
        <v>23533.4750501792</v>
      </c>
      <c r="T25" s="78">
        <f>$X$3/$X$5*($T$1/$X$1)</f>
        <v>24552.63000585178</v>
      </c>
      <c r="U25" s="78">
        <f>$X$3/$X$5*($U$1/$X$1)</f>
        <v>1189.7251121185227</v>
      </c>
      <c r="V25" s="78">
        <f>$X$3/$X$5*($V$1/$X$1)</f>
        <v>10908.464473176919</v>
      </c>
      <c r="W25" s="78">
        <f>$X$3/$X$5*($W$1/$X$1)</f>
        <v>4462.902546999987</v>
      </c>
      <c r="X25" s="78">
        <f>SUM(P25:W25)</f>
        <v>157117.71761134855</v>
      </c>
      <c r="Y25" s="78">
        <f>$Y$3/$X$5</f>
        <v>110204.54545454546</v>
      </c>
      <c r="Z25" s="78">
        <f>$Z$3/$X$5</f>
        <v>90704.54545454546</v>
      </c>
      <c r="AA25" s="78">
        <f>SUM(X25:Z25)</f>
        <v>358026.8085204395</v>
      </c>
      <c r="AB25" s="78">
        <f>$AB$3/$X$5</f>
        <v>383136.36363636365</v>
      </c>
      <c r="AC25" s="76">
        <f>AA25/AB25</f>
        <v>0.9344631376734688</v>
      </c>
      <c r="AD25" s="77"/>
      <c r="AE25" s="78">
        <f t="shared" si="26"/>
        <v>7432.480740512168</v>
      </c>
      <c r="AF25" s="51">
        <f t="shared" si="26"/>
        <v>-2502.081903806382</v>
      </c>
      <c r="AG25" s="51">
        <f t="shared" si="29"/>
        <v>443.02074027209164</v>
      </c>
      <c r="AH25" s="51">
        <f t="shared" si="29"/>
        <v>-1003.1150501791999</v>
      </c>
      <c r="AI25" s="51">
        <f t="shared" si="29"/>
        <v>-3871.190005851782</v>
      </c>
      <c r="AJ25" s="51">
        <f t="shared" si="29"/>
        <v>-61.42511211852275</v>
      </c>
      <c r="AK25" s="51">
        <f t="shared" si="29"/>
        <v>732.6855268230811</v>
      </c>
      <c r="AL25" s="51">
        <f t="shared" si="29"/>
        <v>-237.16254699998717</v>
      </c>
      <c r="AM25" s="78">
        <f t="shared" si="27"/>
        <v>933.2123886514671</v>
      </c>
      <c r="AN25" s="78">
        <f t="shared" si="10"/>
        <v>-33764.025454545525</v>
      </c>
      <c r="AO25" s="78">
        <f t="shared" si="10"/>
        <v>40325.454545454544</v>
      </c>
      <c r="AP25" s="78">
        <f t="shared" si="11"/>
        <v>7494.641479560487</v>
      </c>
      <c r="AQ25" s="78">
        <f t="shared" si="12"/>
        <v>51323.63636363635</v>
      </c>
      <c r="AR25" s="91">
        <f>AP25/AQ25</f>
        <v>0.1460270941532616</v>
      </c>
      <c r="AS25" s="250">
        <f t="shared" si="28"/>
        <v>1.1875934089975249</v>
      </c>
      <c r="AT25" s="250">
        <f t="shared" si="28"/>
        <v>0.7398791747320183</v>
      </c>
      <c r="AU25" s="250">
        <f t="shared" si="30"/>
        <v>1.0102476518908032</v>
      </c>
      <c r="AV25" s="250">
        <f t="shared" si="30"/>
        <v>0.957374971267936</v>
      </c>
      <c r="AW25" s="250">
        <f t="shared" si="30"/>
        <v>0.8423309435718643</v>
      </c>
      <c r="AX25" s="250">
        <f t="shared" si="30"/>
        <v>0.948370332362621</v>
      </c>
      <c r="AY25" s="250">
        <f t="shared" si="30"/>
        <v>1.0671666968916385</v>
      </c>
      <c r="AZ25" s="250">
        <f t="shared" si="30"/>
        <v>0.9468591248627173</v>
      </c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1:85" s="95" customFormat="1" ht="12.75">
      <c r="A26" s="89">
        <f>'[8]MONTH6'!$A21</f>
        <v>39619</v>
      </c>
      <c r="B26" s="51">
        <f>'[8]MONTH6'!B21</f>
        <v>36063.48</v>
      </c>
      <c r="C26" s="51">
        <f>'[8]MONTH6'!C21</f>
        <v>6190.58</v>
      </c>
      <c r="D26" s="51">
        <f>'[8]MONTH6'!D21</f>
        <v>29998.18</v>
      </c>
      <c r="E26" s="51">
        <f>'[8]MONTH6'!E21</f>
        <v>20201.48</v>
      </c>
      <c r="F26" s="51">
        <f>'[8]MONTH6'!F21</f>
        <v>17205.88</v>
      </c>
      <c r="G26" s="51">
        <f>'[8]MONTH6'!G21</f>
        <v>1061.1</v>
      </c>
      <c r="H26" s="51">
        <f>'[8]MONTH6'!H21</f>
        <v>9716.48</v>
      </c>
      <c r="I26" s="51">
        <f>'[8]MONTH6'!I21</f>
        <v>3709</v>
      </c>
      <c r="J26" s="78">
        <f t="shared" si="15"/>
        <v>124146.18000000001</v>
      </c>
      <c r="K26" s="52">
        <f>'[8]MONTH6'!J21</f>
        <v>71208.72999999997</v>
      </c>
      <c r="L26" s="52">
        <f>'[8]MONTH6'!K21</f>
        <v>89333</v>
      </c>
      <c r="M26" s="78">
        <f t="shared" si="16"/>
        <v>284687.91</v>
      </c>
      <c r="N26" s="52">
        <f>'[8]MONTH6'!L21</f>
        <v>386798</v>
      </c>
      <c r="O26" s="64">
        <f t="shared" si="17"/>
        <v>0.7360118459764527</v>
      </c>
      <c r="P26" s="78">
        <f>$X$3/$X$5*($P$1/$X$1)</f>
        <v>39620.15925948783</v>
      </c>
      <c r="Q26" s="78">
        <f>$X$3/$X$5*($Q$1/$X$1)</f>
        <v>9618.921903806382</v>
      </c>
      <c r="R26" s="78">
        <f>$X$3/$X$5*($R$1/$X$1)</f>
        <v>43231.43925972791</v>
      </c>
      <c r="S26" s="78">
        <f>$X$3/$X$5*($S$1/$X$1)</f>
        <v>23533.4750501792</v>
      </c>
      <c r="T26" s="78">
        <f>$X$3/$X$5*($T$1/$X$1)</f>
        <v>24552.63000585178</v>
      </c>
      <c r="U26" s="78">
        <f>$X$3/$X$5*($U$1/$X$1)</f>
        <v>1189.7251121185227</v>
      </c>
      <c r="V26" s="78">
        <f>$X$3/$X$5*($V$1/$X$1)</f>
        <v>10908.464473176919</v>
      </c>
      <c r="W26" s="78">
        <f>$X$3/$X$5*($W$1/$X$1)</f>
        <v>4462.902546999987</v>
      </c>
      <c r="X26" s="78">
        <f>SUM(P26:W26)</f>
        <v>157117.71761134855</v>
      </c>
      <c r="Y26" s="78">
        <f>$Y$3/$X$5</f>
        <v>110204.54545454546</v>
      </c>
      <c r="Z26" s="78">
        <f>$Z$3/$X$5</f>
        <v>90704.54545454546</v>
      </c>
      <c r="AA26" s="78">
        <f>SUM(X26:Z26)</f>
        <v>358026.8085204395</v>
      </c>
      <c r="AB26" s="78">
        <f>$AB$3/$X$5</f>
        <v>383136.36363636365</v>
      </c>
      <c r="AC26" s="76">
        <f>AA26/AB26</f>
        <v>0.9344631376734688</v>
      </c>
      <c r="AD26" s="77"/>
      <c r="AE26" s="78">
        <f t="shared" si="26"/>
        <v>-3556.679259487828</v>
      </c>
      <c r="AF26" s="51">
        <f t="shared" si="26"/>
        <v>-3428.341903806382</v>
      </c>
      <c r="AG26" s="51">
        <f t="shared" si="29"/>
        <v>-13233.259259727907</v>
      </c>
      <c r="AH26" s="51">
        <f t="shared" si="29"/>
        <v>-3331.995050179201</v>
      </c>
      <c r="AI26" s="51">
        <f t="shared" si="29"/>
        <v>-7346.75000585178</v>
      </c>
      <c r="AJ26" s="51">
        <f t="shared" si="29"/>
        <v>-128.6251121185228</v>
      </c>
      <c r="AK26" s="51">
        <f t="shared" si="29"/>
        <v>-1191.984473176919</v>
      </c>
      <c r="AL26" s="51">
        <f t="shared" si="29"/>
        <v>-753.902546999987</v>
      </c>
      <c r="AM26" s="78">
        <f t="shared" si="27"/>
        <v>-32971.537611348525</v>
      </c>
      <c r="AN26" s="78">
        <f t="shared" si="10"/>
        <v>-38995.81545454549</v>
      </c>
      <c r="AO26" s="78">
        <f t="shared" si="10"/>
        <v>-1371.5454545454559</v>
      </c>
      <c r="AP26" s="78">
        <f t="shared" si="11"/>
        <v>-73338.89852043947</v>
      </c>
      <c r="AQ26" s="78">
        <f t="shared" si="12"/>
        <v>3661.636363636353</v>
      </c>
      <c r="AR26" s="91">
        <f>AP26/AQ26</f>
        <v>-20.02899557388243</v>
      </c>
      <c r="AS26" s="250">
        <f t="shared" si="28"/>
        <v>0.9102305663085867</v>
      </c>
      <c r="AT26" s="250">
        <f t="shared" si="28"/>
        <v>0.643583559769861</v>
      </c>
      <c r="AU26" s="250">
        <f t="shared" si="30"/>
        <v>0.6938973236531751</v>
      </c>
      <c r="AV26" s="250">
        <f t="shared" si="30"/>
        <v>0.8584146606876136</v>
      </c>
      <c r="AW26" s="250">
        <f t="shared" si="30"/>
        <v>0.7007754361100712</v>
      </c>
      <c r="AX26" s="250">
        <f t="shared" si="30"/>
        <v>0.8918866965080007</v>
      </c>
      <c r="AY26" s="250">
        <f t="shared" si="30"/>
        <v>0.890728481895145</v>
      </c>
      <c r="AZ26" s="250">
        <f t="shared" si="30"/>
        <v>0.831073491060931</v>
      </c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52" s="206" customFormat="1" ht="12.75">
      <c r="A27" s="199">
        <f>'[8]MONTH6'!$A22</f>
        <v>39620</v>
      </c>
      <c r="B27" s="200">
        <f>'[8]MONTH6'!B22</f>
        <v>15289.65</v>
      </c>
      <c r="C27" s="200">
        <f>'[8]MONTH6'!C22</f>
        <v>8570.64</v>
      </c>
      <c r="D27" s="200">
        <f>'[8]MONTH6'!D22</f>
        <v>11778.28</v>
      </c>
      <c r="E27" s="200">
        <f>'[8]MONTH6'!E22</f>
        <v>9975.69</v>
      </c>
      <c r="F27" s="200">
        <f>'[8]MONTH6'!F22</f>
        <v>9257.87</v>
      </c>
      <c r="G27" s="200">
        <f>'[8]MONTH6'!G22</f>
        <v>333.24</v>
      </c>
      <c r="H27" s="200">
        <f>'[8]MONTH6'!H22</f>
        <v>3919.26</v>
      </c>
      <c r="I27" s="200">
        <f>'[8]MONTH6'!I22</f>
        <v>1733.61</v>
      </c>
      <c r="J27" s="202">
        <f>SUM(B27:I27)</f>
        <v>60858.240000000005</v>
      </c>
      <c r="K27" s="201">
        <f>'[8]MONTH6'!J22</f>
        <v>31776.32999999999</v>
      </c>
      <c r="L27" s="201">
        <f>'[8]MONTH6'!K22</f>
        <v>28302</v>
      </c>
      <c r="M27" s="202">
        <f>SUM(J27:L27)</f>
        <v>120936.56999999999</v>
      </c>
      <c r="N27" s="201">
        <f>'[8]MONTH6'!L22</f>
        <v>0</v>
      </c>
      <c r="O27" s="203" t="e">
        <f>M27/N27</f>
        <v>#DIV/0!</v>
      </c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51"/>
      <c r="AT27" s="251"/>
      <c r="AU27" s="251"/>
      <c r="AV27" s="251"/>
      <c r="AW27" s="251"/>
      <c r="AX27" s="251"/>
      <c r="AY27" s="251"/>
      <c r="AZ27" s="251"/>
    </row>
    <row r="28" spans="1:52" s="206" customFormat="1" ht="12.75">
      <c r="A28" s="199">
        <f>'[8]MONTH6'!$A23</f>
        <v>39621</v>
      </c>
      <c r="B28" s="200">
        <f>'[8]MONTH6'!B23</f>
        <v>6261.64</v>
      </c>
      <c r="C28" s="200">
        <f>'[8]MONTH6'!C23</f>
        <v>7398.2</v>
      </c>
      <c r="D28" s="200">
        <f>'[8]MONTH6'!D23</f>
        <v>5109.29</v>
      </c>
      <c r="E28" s="200">
        <f>'[8]MONTH6'!E23</f>
        <v>5337.1</v>
      </c>
      <c r="F28" s="200">
        <f>'[8]MONTH6'!F23</f>
        <v>7998.26</v>
      </c>
      <c r="G28" s="200">
        <f>'[8]MONTH6'!G23</f>
        <v>125.69</v>
      </c>
      <c r="H28" s="200">
        <f>'[8]MONTH6'!H23</f>
        <v>1550.61</v>
      </c>
      <c r="I28" s="200">
        <f>'[8]MONTH6'!I23</f>
        <v>816.79</v>
      </c>
      <c r="J28" s="202">
        <f>SUM(B28:I28)</f>
        <v>34597.58</v>
      </c>
      <c r="K28" s="201">
        <f>'[8]MONTH6'!J23</f>
        <v>22230.619999999995</v>
      </c>
      <c r="L28" s="201">
        <f>'[8]MONTH6'!K23</f>
        <v>0</v>
      </c>
      <c r="M28" s="202">
        <f>SUM(J28:L28)</f>
        <v>56828.2</v>
      </c>
      <c r="N28" s="201">
        <f>'[8]MONTH6'!L23</f>
        <v>0</v>
      </c>
      <c r="O28" s="203" t="e">
        <f>M28/N28</f>
        <v>#DIV/0!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51"/>
      <c r="AT28" s="251"/>
      <c r="AU28" s="251"/>
      <c r="AV28" s="251"/>
      <c r="AW28" s="251"/>
      <c r="AX28" s="251"/>
      <c r="AY28" s="251"/>
      <c r="AZ28" s="251"/>
    </row>
    <row r="29" spans="1:52" s="60" customFormat="1" ht="12.75">
      <c r="A29" s="89">
        <f>'[8]MONTH6'!$A24</f>
        <v>39622</v>
      </c>
      <c r="B29" s="51">
        <f>'[8]MONTH6'!B24</f>
        <v>33448.85</v>
      </c>
      <c r="C29" s="51">
        <f>'[8]MONTH6'!C24</f>
        <v>7726.48</v>
      </c>
      <c r="D29" s="51">
        <f>'[8]MONTH6'!D24</f>
        <v>37068.34</v>
      </c>
      <c r="E29" s="51">
        <f>'[8]MONTH6'!E24</f>
        <v>19604.97</v>
      </c>
      <c r="F29" s="51">
        <f>'[8]MONTH6'!F24</f>
        <v>19790.46</v>
      </c>
      <c r="G29" s="51">
        <f>'[8]MONTH6'!G24</f>
        <v>1008.47</v>
      </c>
      <c r="H29" s="51">
        <f>'[8]MONTH6'!H24</f>
        <v>10480.14</v>
      </c>
      <c r="I29" s="51">
        <f>'[8]MONTH6'!I24</f>
        <v>5109.28</v>
      </c>
      <c r="J29" s="78">
        <f t="shared" si="15"/>
        <v>134236.99000000002</v>
      </c>
      <c r="K29" s="52">
        <f>'[8]MONTH6'!J24</f>
        <v>55921.42000000005</v>
      </c>
      <c r="L29" s="52">
        <f>'[8]MONTH6'!K24</f>
        <v>113048</v>
      </c>
      <c r="M29" s="78">
        <f t="shared" si="16"/>
        <v>303206.41000000003</v>
      </c>
      <c r="N29" s="52">
        <f>'[8]MONTH6'!L24</f>
        <v>470806</v>
      </c>
      <c r="O29" s="64">
        <f t="shared" si="17"/>
        <v>0.6440156030296981</v>
      </c>
      <c r="P29" s="78">
        <f aca="true" t="shared" si="31" ref="P29:P35">$X$3/$X$5*($P$1/$X$1)</f>
        <v>39620.15925948783</v>
      </c>
      <c r="Q29" s="78">
        <f aca="true" t="shared" si="32" ref="Q29:Q35">$X$3/$X$5*($Q$1/$X$1)</f>
        <v>9618.921903806382</v>
      </c>
      <c r="R29" s="78">
        <f aca="true" t="shared" si="33" ref="R29:R35">$X$3/$X$5*($R$1/$X$1)</f>
        <v>43231.43925972791</v>
      </c>
      <c r="S29" s="78">
        <f aca="true" t="shared" si="34" ref="S29:S35">$X$3/$X$5*($S$1/$X$1)</f>
        <v>23533.4750501792</v>
      </c>
      <c r="T29" s="78">
        <f aca="true" t="shared" si="35" ref="T29:T35">$X$3/$X$5*($T$1/$X$1)</f>
        <v>24552.63000585178</v>
      </c>
      <c r="U29" s="78">
        <f aca="true" t="shared" si="36" ref="U29:U35">$X$3/$X$5*($U$1/$X$1)</f>
        <v>1189.7251121185227</v>
      </c>
      <c r="V29" s="78">
        <f aca="true" t="shared" si="37" ref="V29:V35">$X$3/$X$5*($V$1/$X$1)</f>
        <v>10908.464473176919</v>
      </c>
      <c r="W29" s="78">
        <f aca="true" t="shared" si="38" ref="W29:W35">$X$3/$X$5*($W$1/$X$1)</f>
        <v>4462.902546999987</v>
      </c>
      <c r="X29" s="78">
        <f aca="true" t="shared" si="39" ref="X29:X35">SUM(P29:W29)</f>
        <v>157117.71761134855</v>
      </c>
      <c r="Y29" s="78">
        <f aca="true" t="shared" si="40" ref="Y29:Y35">$Y$3/$X$5</f>
        <v>110204.54545454546</v>
      </c>
      <c r="Z29" s="78">
        <f aca="true" t="shared" si="41" ref="Z29:Z35">$Z$3/$X$5</f>
        <v>90704.54545454546</v>
      </c>
      <c r="AA29" s="78">
        <f aca="true" t="shared" si="42" ref="AA29:AA35">SUM(X29:Z29)</f>
        <v>358026.8085204395</v>
      </c>
      <c r="AB29" s="78">
        <f aca="true" t="shared" si="43" ref="AB29:AB35">$AB$3/$X$5</f>
        <v>383136.36363636365</v>
      </c>
      <c r="AC29" s="76">
        <f aca="true" t="shared" si="44" ref="AC29:AC35">AA29/AB29</f>
        <v>0.9344631376734688</v>
      </c>
      <c r="AD29" s="77"/>
      <c r="AE29" s="78">
        <f aca="true" t="shared" si="45" ref="AE29:AL33">B29-P29</f>
        <v>-6171.309259487833</v>
      </c>
      <c r="AF29" s="51">
        <f t="shared" si="45"/>
        <v>-1892.4419038063825</v>
      </c>
      <c r="AG29" s="51">
        <f t="shared" si="45"/>
        <v>-6163.099259727911</v>
      </c>
      <c r="AH29" s="51">
        <f t="shared" si="45"/>
        <v>-3928.5050501791993</v>
      </c>
      <c r="AI29" s="51">
        <f t="shared" si="45"/>
        <v>-4762.170005851782</v>
      </c>
      <c r="AJ29" s="51">
        <f t="shared" si="45"/>
        <v>-181.25511211852267</v>
      </c>
      <c r="AK29" s="51">
        <f t="shared" si="45"/>
        <v>-428.3244731769191</v>
      </c>
      <c r="AL29" s="51">
        <f t="shared" si="45"/>
        <v>646.3774530000128</v>
      </c>
      <c r="AM29" s="78">
        <f t="shared" si="27"/>
        <v>-22880.72761134854</v>
      </c>
      <c r="AN29" s="78">
        <f t="shared" si="10"/>
        <v>-54283.12545454541</v>
      </c>
      <c r="AO29" s="78">
        <f t="shared" si="10"/>
        <v>22343.454545454544</v>
      </c>
      <c r="AP29" s="78">
        <f t="shared" si="11"/>
        <v>-54820.3985204394</v>
      </c>
      <c r="AQ29" s="78">
        <f t="shared" si="12"/>
        <v>87669.63636363635</v>
      </c>
      <c r="AR29" s="78"/>
      <c r="AS29" s="250">
        <f aca="true" t="shared" si="46" ref="AS29:AZ33">B29/P29</f>
        <v>0.8442381511121768</v>
      </c>
      <c r="AT29" s="250">
        <f t="shared" si="46"/>
        <v>0.8032584189026933</v>
      </c>
      <c r="AU29" s="250">
        <f t="shared" si="46"/>
        <v>0.8574394152667241</v>
      </c>
      <c r="AV29" s="250">
        <f t="shared" si="46"/>
        <v>0.8330673629031559</v>
      </c>
      <c r="AW29" s="250">
        <f t="shared" si="46"/>
        <v>0.8060423667559531</v>
      </c>
      <c r="AX29" s="250">
        <f t="shared" si="46"/>
        <v>0.8476495870581694</v>
      </c>
      <c r="AY29" s="250">
        <f t="shared" si="46"/>
        <v>0.9607346685475178</v>
      </c>
      <c r="AZ29" s="250">
        <f t="shared" si="46"/>
        <v>1.1448334231350212</v>
      </c>
    </row>
    <row r="30" spans="1:52" s="60" customFormat="1" ht="12.75">
      <c r="A30" s="89">
        <f>'[8]MONTH6'!$A25</f>
        <v>39623</v>
      </c>
      <c r="B30" s="51">
        <f>'[8]MONTH6'!B25</f>
        <v>40876.55</v>
      </c>
      <c r="C30" s="51">
        <f>'[8]MONTH6'!C25</f>
        <v>6636.07</v>
      </c>
      <c r="D30" s="51">
        <f>'[8]MONTH6'!D25</f>
        <v>45398.77</v>
      </c>
      <c r="E30" s="51">
        <f>'[8]MONTH6'!E25</f>
        <v>18210.99</v>
      </c>
      <c r="F30" s="51">
        <f>'[8]MONTH6'!F25</f>
        <v>21332.07</v>
      </c>
      <c r="G30" s="51">
        <f>'[8]MONTH6'!G25</f>
        <v>1470.29</v>
      </c>
      <c r="H30" s="51">
        <f>'[8]MONTH6'!H25</f>
        <v>10238.51</v>
      </c>
      <c r="I30" s="51">
        <f>'[8]MONTH6'!I25</f>
        <v>4684.38</v>
      </c>
      <c r="J30" s="78">
        <f t="shared" si="15"/>
        <v>148847.63000000003</v>
      </c>
      <c r="K30" s="52">
        <f>'[8]MONTH6'!J25</f>
        <v>84351.45000000001</v>
      </c>
      <c r="L30" s="52">
        <f>'[8]MONTH6'!K25</f>
        <v>129766</v>
      </c>
      <c r="M30" s="78">
        <f t="shared" si="16"/>
        <v>362965.0800000001</v>
      </c>
      <c r="N30" s="52">
        <f>'[8]MONTH6'!L25</f>
        <v>354254</v>
      </c>
      <c r="O30" s="64">
        <f t="shared" si="17"/>
        <v>1.0245899270015302</v>
      </c>
      <c r="P30" s="78">
        <f t="shared" si="31"/>
        <v>39620.15925948783</v>
      </c>
      <c r="Q30" s="78">
        <f t="shared" si="32"/>
        <v>9618.921903806382</v>
      </c>
      <c r="R30" s="78">
        <f t="shared" si="33"/>
        <v>43231.43925972791</v>
      </c>
      <c r="S30" s="78">
        <f t="shared" si="34"/>
        <v>23533.4750501792</v>
      </c>
      <c r="T30" s="78">
        <f t="shared" si="35"/>
        <v>24552.63000585178</v>
      </c>
      <c r="U30" s="78">
        <f t="shared" si="36"/>
        <v>1189.7251121185227</v>
      </c>
      <c r="V30" s="78">
        <f t="shared" si="37"/>
        <v>10908.464473176919</v>
      </c>
      <c r="W30" s="78">
        <f t="shared" si="38"/>
        <v>4462.902546999987</v>
      </c>
      <c r="X30" s="78">
        <f t="shared" si="39"/>
        <v>157117.71761134855</v>
      </c>
      <c r="Y30" s="78">
        <f t="shared" si="40"/>
        <v>110204.54545454546</v>
      </c>
      <c r="Z30" s="78">
        <f t="shared" si="41"/>
        <v>90704.54545454546</v>
      </c>
      <c r="AA30" s="78">
        <f t="shared" si="42"/>
        <v>358026.8085204395</v>
      </c>
      <c r="AB30" s="78">
        <f t="shared" si="43"/>
        <v>383136.36363636365</v>
      </c>
      <c r="AC30" s="76">
        <f t="shared" si="44"/>
        <v>0.9344631376734688</v>
      </c>
      <c r="AD30" s="77"/>
      <c r="AE30" s="78">
        <f t="shared" si="45"/>
        <v>1256.3907405121718</v>
      </c>
      <c r="AF30" s="51">
        <f t="shared" si="45"/>
        <v>-2982.8519038063823</v>
      </c>
      <c r="AG30" s="51">
        <f t="shared" si="45"/>
        <v>2167.3307402720893</v>
      </c>
      <c r="AH30" s="51">
        <f t="shared" si="45"/>
        <v>-5322.485050179199</v>
      </c>
      <c r="AI30" s="51">
        <f t="shared" si="45"/>
        <v>-3220.560005851781</v>
      </c>
      <c r="AJ30" s="51">
        <f t="shared" si="45"/>
        <v>280.56488788147726</v>
      </c>
      <c r="AK30" s="51">
        <f t="shared" si="45"/>
        <v>-669.9544731769183</v>
      </c>
      <c r="AL30" s="51">
        <f t="shared" si="45"/>
        <v>221.47745300001316</v>
      </c>
      <c r="AM30" s="78">
        <f t="shared" si="27"/>
        <v>-8270.087611348528</v>
      </c>
      <c r="AN30" s="78">
        <f t="shared" si="10"/>
        <v>-25853.095454545444</v>
      </c>
      <c r="AO30" s="78">
        <f t="shared" si="10"/>
        <v>39061.454545454544</v>
      </c>
      <c r="AP30" s="78">
        <f t="shared" si="11"/>
        <v>4938.271479560572</v>
      </c>
      <c r="AQ30" s="78">
        <f t="shared" si="12"/>
        <v>-28882.363636363647</v>
      </c>
      <c r="AR30" s="78"/>
      <c r="AS30" s="250">
        <f t="shared" si="46"/>
        <v>1.0317108957660563</v>
      </c>
      <c r="AT30" s="250">
        <f t="shared" si="46"/>
        <v>0.6898974818970083</v>
      </c>
      <c r="AU30" s="250">
        <f t="shared" si="46"/>
        <v>1.0501332080861592</v>
      </c>
      <c r="AV30" s="250">
        <f t="shared" si="46"/>
        <v>0.7738334419871973</v>
      </c>
      <c r="AW30" s="250">
        <f t="shared" si="46"/>
        <v>0.8688303450553279</v>
      </c>
      <c r="AX30" s="250">
        <f t="shared" si="46"/>
        <v>1.2358232881055022</v>
      </c>
      <c r="AY30" s="250">
        <f t="shared" si="46"/>
        <v>0.9385839799153872</v>
      </c>
      <c r="AZ30" s="250">
        <f t="shared" si="46"/>
        <v>1.0496263251701279</v>
      </c>
    </row>
    <row r="31" spans="1:52" s="60" customFormat="1" ht="12.75">
      <c r="A31" s="89">
        <f>'[8]MONTH6'!$A26</f>
        <v>39624</v>
      </c>
      <c r="B31" s="51">
        <f>'[8]MONTH6'!B26</f>
        <v>41377.14</v>
      </c>
      <c r="C31" s="51">
        <f>'[8]MONTH6'!C26</f>
        <v>6811.97</v>
      </c>
      <c r="D31" s="51">
        <f>'[8]MONTH6'!D26</f>
        <v>44659.53</v>
      </c>
      <c r="E31" s="51">
        <f>'[8]MONTH6'!E26</f>
        <v>18925.8</v>
      </c>
      <c r="F31" s="51">
        <f>'[8]MONTH6'!F26</f>
        <v>19870.85</v>
      </c>
      <c r="G31" s="51">
        <f>'[8]MONTH6'!G26</f>
        <v>1195.58</v>
      </c>
      <c r="H31" s="51">
        <f>'[8]MONTH6'!H26</f>
        <v>12420.29</v>
      </c>
      <c r="I31" s="51">
        <f>'[8]MONTH6'!I26</f>
        <v>5492.64</v>
      </c>
      <c r="J31" s="78">
        <f t="shared" si="15"/>
        <v>150753.80000000002</v>
      </c>
      <c r="K31" s="52">
        <f>'[8]MONTH6'!J26</f>
        <v>74836.71000000005</v>
      </c>
      <c r="L31" s="52">
        <f>'[8]MONTH6'!K26</f>
        <v>161239</v>
      </c>
      <c r="M31" s="78">
        <f t="shared" si="16"/>
        <v>386829.51000000007</v>
      </c>
      <c r="N31" s="52">
        <f>'[8]MONTH6'!L26</f>
        <v>286683</v>
      </c>
      <c r="O31" s="64">
        <f t="shared" si="17"/>
        <v>1.3493283871035258</v>
      </c>
      <c r="P31" s="78">
        <f t="shared" si="31"/>
        <v>39620.15925948783</v>
      </c>
      <c r="Q31" s="78">
        <f t="shared" si="32"/>
        <v>9618.921903806382</v>
      </c>
      <c r="R31" s="78">
        <f t="shared" si="33"/>
        <v>43231.43925972791</v>
      </c>
      <c r="S31" s="78">
        <f t="shared" si="34"/>
        <v>23533.4750501792</v>
      </c>
      <c r="T31" s="78">
        <f t="shared" si="35"/>
        <v>24552.63000585178</v>
      </c>
      <c r="U31" s="78">
        <f t="shared" si="36"/>
        <v>1189.7251121185227</v>
      </c>
      <c r="V31" s="78">
        <f t="shared" si="37"/>
        <v>10908.464473176919</v>
      </c>
      <c r="W31" s="78">
        <f t="shared" si="38"/>
        <v>4462.902546999987</v>
      </c>
      <c r="X31" s="78">
        <f t="shared" si="39"/>
        <v>157117.71761134855</v>
      </c>
      <c r="Y31" s="78">
        <f t="shared" si="40"/>
        <v>110204.54545454546</v>
      </c>
      <c r="Z31" s="78">
        <f t="shared" si="41"/>
        <v>90704.54545454546</v>
      </c>
      <c r="AA31" s="78">
        <f t="shared" si="42"/>
        <v>358026.8085204395</v>
      </c>
      <c r="AB31" s="78">
        <f t="shared" si="43"/>
        <v>383136.36363636365</v>
      </c>
      <c r="AC31" s="76">
        <f t="shared" si="44"/>
        <v>0.9344631376734688</v>
      </c>
      <c r="AD31" s="77"/>
      <c r="AE31" s="78">
        <f t="shared" si="45"/>
        <v>1756.9807405121683</v>
      </c>
      <c r="AF31" s="51">
        <f t="shared" si="45"/>
        <v>-2806.951903806382</v>
      </c>
      <c r="AG31" s="51">
        <f t="shared" si="45"/>
        <v>1428.0907402720914</v>
      </c>
      <c r="AH31" s="51">
        <f t="shared" si="45"/>
        <v>-4607.675050179201</v>
      </c>
      <c r="AI31" s="51">
        <f t="shared" si="45"/>
        <v>-4681.780005851782</v>
      </c>
      <c r="AJ31" s="51">
        <f t="shared" si="45"/>
        <v>5.854887881477225</v>
      </c>
      <c r="AK31" s="51">
        <f t="shared" si="45"/>
        <v>1511.8255268230823</v>
      </c>
      <c r="AL31" s="51">
        <f t="shared" si="45"/>
        <v>1029.7374530000134</v>
      </c>
      <c r="AM31" s="78">
        <f t="shared" si="27"/>
        <v>-6363.917611348533</v>
      </c>
      <c r="AN31" s="78">
        <f t="shared" si="10"/>
        <v>-35367.835454545406</v>
      </c>
      <c r="AO31" s="78">
        <f t="shared" si="10"/>
        <v>70534.45454545454</v>
      </c>
      <c r="AP31" s="78">
        <f t="shared" si="11"/>
        <v>28802.70147956061</v>
      </c>
      <c r="AQ31" s="78">
        <f t="shared" si="12"/>
        <v>-96453.36363636365</v>
      </c>
      <c r="AR31" s="78">
        <f>AP31/AQ31</f>
        <v>-0.29861790603953364</v>
      </c>
      <c r="AS31" s="250">
        <f t="shared" si="46"/>
        <v>1.0443456253924932</v>
      </c>
      <c r="AT31" s="250">
        <f t="shared" si="46"/>
        <v>0.7081843545589428</v>
      </c>
      <c r="AU31" s="250">
        <f t="shared" si="46"/>
        <v>1.0330336154596274</v>
      </c>
      <c r="AV31" s="250">
        <f t="shared" si="46"/>
        <v>0.8042076216812648</v>
      </c>
      <c r="AW31" s="250">
        <f t="shared" si="46"/>
        <v>0.8093165577481539</v>
      </c>
      <c r="AX31" s="250">
        <f t="shared" si="46"/>
        <v>1.0049212106408778</v>
      </c>
      <c r="AY31" s="250">
        <f t="shared" si="46"/>
        <v>1.1385919650323422</v>
      </c>
      <c r="AZ31" s="250">
        <f t="shared" si="46"/>
        <v>1.230732677255571</v>
      </c>
    </row>
    <row r="32" spans="1:85" s="95" customFormat="1" ht="12.75">
      <c r="A32" s="89">
        <f>'[8]MONTH6'!$A27</f>
        <v>39625</v>
      </c>
      <c r="B32" s="51">
        <f>'[8]MONTH6'!B27</f>
        <v>42437.86</v>
      </c>
      <c r="C32" s="51">
        <f>'[8]MONTH6'!C27</f>
        <v>8547.2</v>
      </c>
      <c r="D32" s="51">
        <f>'[8]MONTH6'!D27</f>
        <v>35245.06</v>
      </c>
      <c r="E32" s="51">
        <f>'[8]MONTH6'!E27</f>
        <v>23157.54</v>
      </c>
      <c r="F32" s="51">
        <f>'[8]MONTH6'!F27</f>
        <v>22534.41</v>
      </c>
      <c r="G32" s="51">
        <f>'[8]MONTH6'!G27</f>
        <v>1376.78</v>
      </c>
      <c r="H32" s="51">
        <f>'[8]MONTH6'!H27</f>
        <v>14064.4</v>
      </c>
      <c r="I32" s="51">
        <f>'[8]MONTH6'!I27</f>
        <v>4684.22</v>
      </c>
      <c r="J32" s="78">
        <f t="shared" si="15"/>
        <v>152047.47</v>
      </c>
      <c r="K32" s="52">
        <f>'[8]MONTH6'!J27</f>
        <v>81968.74999999991</v>
      </c>
      <c r="L32" s="52">
        <f>'[8]MONTH6'!K27</f>
        <v>119798</v>
      </c>
      <c r="M32" s="78">
        <f t="shared" si="16"/>
        <v>353814.2199999999</v>
      </c>
      <c r="N32" s="52">
        <f>'[8]MONTH6'!L27</f>
        <v>1130017</v>
      </c>
      <c r="O32" s="64">
        <f t="shared" si="17"/>
        <v>0.31310521877104497</v>
      </c>
      <c r="P32" s="78">
        <f t="shared" si="31"/>
        <v>39620.15925948783</v>
      </c>
      <c r="Q32" s="78">
        <f t="shared" si="32"/>
        <v>9618.921903806382</v>
      </c>
      <c r="R32" s="78">
        <f t="shared" si="33"/>
        <v>43231.43925972791</v>
      </c>
      <c r="S32" s="78">
        <f t="shared" si="34"/>
        <v>23533.4750501792</v>
      </c>
      <c r="T32" s="78">
        <f t="shared" si="35"/>
        <v>24552.63000585178</v>
      </c>
      <c r="U32" s="78">
        <f t="shared" si="36"/>
        <v>1189.7251121185227</v>
      </c>
      <c r="V32" s="78">
        <f t="shared" si="37"/>
        <v>10908.464473176919</v>
      </c>
      <c r="W32" s="78">
        <f t="shared" si="38"/>
        <v>4462.902546999987</v>
      </c>
      <c r="X32" s="78">
        <f t="shared" si="39"/>
        <v>157117.71761134855</v>
      </c>
      <c r="Y32" s="78">
        <f t="shared" si="40"/>
        <v>110204.54545454546</v>
      </c>
      <c r="Z32" s="78">
        <f t="shared" si="41"/>
        <v>90704.54545454546</v>
      </c>
      <c r="AA32" s="78">
        <f t="shared" si="42"/>
        <v>358026.8085204395</v>
      </c>
      <c r="AB32" s="78">
        <f t="shared" si="43"/>
        <v>383136.36363636365</v>
      </c>
      <c r="AC32" s="76">
        <f t="shared" si="44"/>
        <v>0.9344631376734688</v>
      </c>
      <c r="AD32" s="77"/>
      <c r="AE32" s="78">
        <f t="shared" si="45"/>
        <v>2817.7007405121694</v>
      </c>
      <c r="AF32" s="51">
        <f t="shared" si="45"/>
        <v>-1071.7219038063813</v>
      </c>
      <c r="AG32" s="51">
        <f t="shared" si="45"/>
        <v>-7986.37925972791</v>
      </c>
      <c r="AH32" s="51">
        <f t="shared" si="45"/>
        <v>-375.9350501791996</v>
      </c>
      <c r="AI32" s="51">
        <f t="shared" si="45"/>
        <v>-2018.220005851781</v>
      </c>
      <c r="AJ32" s="51">
        <f t="shared" si="45"/>
        <v>187.05488788147727</v>
      </c>
      <c r="AK32" s="51">
        <f t="shared" si="45"/>
        <v>3155.935526823081</v>
      </c>
      <c r="AL32" s="51">
        <f t="shared" si="45"/>
        <v>221.3174530000133</v>
      </c>
      <c r="AM32" s="78">
        <f t="shared" si="27"/>
        <v>-5070.247611348531</v>
      </c>
      <c r="AN32" s="78">
        <f t="shared" si="10"/>
        <v>-28235.795454545543</v>
      </c>
      <c r="AO32" s="78">
        <f t="shared" si="10"/>
        <v>29093.454545454544</v>
      </c>
      <c r="AP32" s="78">
        <f t="shared" si="11"/>
        <v>-4212.588520439531</v>
      </c>
      <c r="AQ32" s="78">
        <f t="shared" si="12"/>
        <v>746880.6363636364</v>
      </c>
      <c r="AR32" s="91">
        <f>AP32/AQ32</f>
        <v>-0.005640243320471537</v>
      </c>
      <c r="AS32" s="250">
        <f t="shared" si="46"/>
        <v>1.071117854980288</v>
      </c>
      <c r="AT32" s="250">
        <f t="shared" si="46"/>
        <v>0.8885819102676901</v>
      </c>
      <c r="AU32" s="250">
        <f t="shared" si="46"/>
        <v>0.8152645529160628</v>
      </c>
      <c r="AV32" s="250">
        <f t="shared" si="46"/>
        <v>0.9840255189946401</v>
      </c>
      <c r="AW32" s="250">
        <f t="shared" si="46"/>
        <v>0.9178002517298243</v>
      </c>
      <c r="AX32" s="250">
        <f t="shared" si="46"/>
        <v>1.1572253001774435</v>
      </c>
      <c r="AY32" s="250">
        <f t="shared" si="46"/>
        <v>1.2893107031318005</v>
      </c>
      <c r="AZ32" s="250">
        <f t="shared" si="46"/>
        <v>1.049590474062398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</row>
    <row r="33" spans="1:85" s="95" customFormat="1" ht="12.75">
      <c r="A33" s="89">
        <f>'[8]MONTH6'!$A28</f>
        <v>39626</v>
      </c>
      <c r="B33" s="51">
        <f>'[8]MONTH6'!B28</f>
        <v>38519.67</v>
      </c>
      <c r="C33" s="51">
        <f>'[8]MONTH6'!C28</f>
        <v>5135.38</v>
      </c>
      <c r="D33" s="51">
        <f>'[8]MONTH6'!D28</f>
        <v>33486.59</v>
      </c>
      <c r="E33" s="51">
        <f>'[8]MONTH6'!E28</f>
        <v>23348.53</v>
      </c>
      <c r="F33" s="51">
        <f>'[8]MONTH6'!F28</f>
        <v>22172.45</v>
      </c>
      <c r="G33" s="51">
        <f>'[8]MONTH6'!G28</f>
        <v>1183.88</v>
      </c>
      <c r="H33" s="51">
        <f>'[8]MONTH6'!H28</f>
        <v>12357.98</v>
      </c>
      <c r="I33" s="51">
        <f>'[8]MONTH6'!I28</f>
        <v>6792.7</v>
      </c>
      <c r="J33" s="78">
        <f t="shared" si="15"/>
        <v>142997.18</v>
      </c>
      <c r="K33" s="52">
        <f>'[8]MONTH6'!J28</f>
        <v>47671.01000000005</v>
      </c>
      <c r="L33" s="52">
        <f>'[8]MONTH6'!K28</f>
        <v>93821</v>
      </c>
      <c r="M33" s="78">
        <f t="shared" si="16"/>
        <v>284489.19000000006</v>
      </c>
      <c r="N33" s="52">
        <f>'[8]MONTH6'!L28</f>
        <v>793963</v>
      </c>
      <c r="O33" s="64">
        <f t="shared" si="17"/>
        <v>0.3583154252780042</v>
      </c>
      <c r="P33" s="78">
        <f t="shared" si="31"/>
        <v>39620.15925948783</v>
      </c>
      <c r="Q33" s="78">
        <f t="shared" si="32"/>
        <v>9618.921903806382</v>
      </c>
      <c r="R33" s="78">
        <f t="shared" si="33"/>
        <v>43231.43925972791</v>
      </c>
      <c r="S33" s="78">
        <f t="shared" si="34"/>
        <v>23533.4750501792</v>
      </c>
      <c r="T33" s="78">
        <f t="shared" si="35"/>
        <v>24552.63000585178</v>
      </c>
      <c r="U33" s="78">
        <f t="shared" si="36"/>
        <v>1189.7251121185227</v>
      </c>
      <c r="V33" s="78">
        <f t="shared" si="37"/>
        <v>10908.464473176919</v>
      </c>
      <c r="W33" s="78">
        <f t="shared" si="38"/>
        <v>4462.902546999987</v>
      </c>
      <c r="X33" s="78">
        <f t="shared" si="39"/>
        <v>157117.71761134855</v>
      </c>
      <c r="Y33" s="78">
        <f t="shared" si="40"/>
        <v>110204.54545454546</v>
      </c>
      <c r="Z33" s="78">
        <f t="shared" si="41"/>
        <v>90704.54545454546</v>
      </c>
      <c r="AA33" s="78">
        <f t="shared" si="42"/>
        <v>358026.8085204395</v>
      </c>
      <c r="AB33" s="78">
        <f t="shared" si="43"/>
        <v>383136.36363636365</v>
      </c>
      <c r="AC33" s="76">
        <f t="shared" si="44"/>
        <v>0.9344631376734688</v>
      </c>
      <c r="AD33" s="77"/>
      <c r="AE33" s="78">
        <f t="shared" si="45"/>
        <v>-1100.489259487833</v>
      </c>
      <c r="AF33" s="51">
        <f t="shared" si="45"/>
        <v>-4483.541903806382</v>
      </c>
      <c r="AG33" s="51">
        <f t="shared" si="45"/>
        <v>-9744.849259727911</v>
      </c>
      <c r="AH33" s="51">
        <f t="shared" si="45"/>
        <v>-184.94505017920164</v>
      </c>
      <c r="AI33" s="51">
        <f t="shared" si="45"/>
        <v>-2380.18000585178</v>
      </c>
      <c r="AJ33" s="51">
        <f t="shared" si="45"/>
        <v>-5.845112118522593</v>
      </c>
      <c r="AK33" s="51">
        <f t="shared" si="45"/>
        <v>1449.515526823081</v>
      </c>
      <c r="AL33" s="51">
        <f t="shared" si="45"/>
        <v>2329.797453000013</v>
      </c>
      <c r="AM33" s="78">
        <f t="shared" si="27"/>
        <v>-14120.537611348533</v>
      </c>
      <c r="AN33" s="78">
        <f t="shared" si="10"/>
        <v>-62533.5354545454</v>
      </c>
      <c r="AO33" s="78">
        <f t="shared" si="10"/>
        <v>3116.454545454544</v>
      </c>
      <c r="AP33" s="78">
        <f t="shared" si="11"/>
        <v>-73537.61852043938</v>
      </c>
      <c r="AQ33" s="78">
        <f t="shared" si="12"/>
        <v>410826.63636363635</v>
      </c>
      <c r="AR33" s="91">
        <f>AP33/AQ33</f>
        <v>-0.17899914954722845</v>
      </c>
      <c r="AS33" s="250">
        <f t="shared" si="46"/>
        <v>0.9722240071706855</v>
      </c>
      <c r="AT33" s="250">
        <f t="shared" si="46"/>
        <v>0.5338831161492056</v>
      </c>
      <c r="AU33" s="250">
        <f t="shared" si="46"/>
        <v>0.7745888310314551</v>
      </c>
      <c r="AV33" s="250">
        <f t="shared" si="46"/>
        <v>0.9921411925019635</v>
      </c>
      <c r="AW33" s="250">
        <f t="shared" si="46"/>
        <v>0.9030580428538818</v>
      </c>
      <c r="AX33" s="250">
        <f t="shared" si="46"/>
        <v>0.9950870061840468</v>
      </c>
      <c r="AY33" s="250">
        <f t="shared" si="46"/>
        <v>1.1328798870260182</v>
      </c>
      <c r="AZ33" s="250">
        <f t="shared" si="46"/>
        <v>1.5220363717254208</v>
      </c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52" s="206" customFormat="1" ht="12.75">
      <c r="A34" s="199">
        <v>39627</v>
      </c>
      <c r="B34" s="202">
        <v>20930</v>
      </c>
      <c r="C34" s="202">
        <v>9778</v>
      </c>
      <c r="D34" s="202">
        <v>18605</v>
      </c>
      <c r="E34" s="202">
        <v>5071</v>
      </c>
      <c r="F34" s="202">
        <v>10080</v>
      </c>
      <c r="G34" s="202">
        <v>514</v>
      </c>
      <c r="H34" s="202">
        <v>7870</v>
      </c>
      <c r="I34" s="202">
        <v>4267</v>
      </c>
      <c r="J34" s="202">
        <v>77116</v>
      </c>
      <c r="K34" s="201">
        <v>69127</v>
      </c>
      <c r="L34" s="201">
        <v>30033</v>
      </c>
      <c r="M34" s="202">
        <v>176276</v>
      </c>
      <c r="N34" s="201">
        <v>427045</v>
      </c>
      <c r="O34" s="203">
        <v>0.41</v>
      </c>
      <c r="P34" s="202">
        <f t="shared" si="31"/>
        <v>39620.15925948783</v>
      </c>
      <c r="Q34" s="202">
        <f t="shared" si="32"/>
        <v>9618.921903806382</v>
      </c>
      <c r="R34" s="202">
        <f t="shared" si="33"/>
        <v>43231.43925972791</v>
      </c>
      <c r="S34" s="202">
        <f t="shared" si="34"/>
        <v>23533.4750501792</v>
      </c>
      <c r="T34" s="202">
        <f t="shared" si="35"/>
        <v>24552.63000585178</v>
      </c>
      <c r="U34" s="202">
        <f t="shared" si="36"/>
        <v>1189.7251121185227</v>
      </c>
      <c r="V34" s="202">
        <f t="shared" si="37"/>
        <v>10908.464473176919</v>
      </c>
      <c r="W34" s="202">
        <f t="shared" si="38"/>
        <v>4462.902546999987</v>
      </c>
      <c r="X34" s="202">
        <f t="shared" si="39"/>
        <v>157117.71761134855</v>
      </c>
      <c r="Y34" s="202">
        <f t="shared" si="40"/>
        <v>110204.54545454546</v>
      </c>
      <c r="Z34" s="202">
        <f t="shared" si="41"/>
        <v>90704.54545454546</v>
      </c>
      <c r="AA34" s="202">
        <f t="shared" si="42"/>
        <v>358026.8085204395</v>
      </c>
      <c r="AB34" s="202">
        <f t="shared" si="43"/>
        <v>383136.36363636365</v>
      </c>
      <c r="AC34" s="204">
        <f t="shared" si="44"/>
        <v>0.9344631376734688</v>
      </c>
      <c r="AD34" s="205"/>
      <c r="AE34" s="202">
        <v>20930</v>
      </c>
      <c r="AF34" s="202">
        <v>9778</v>
      </c>
      <c r="AG34" s="202">
        <v>18605</v>
      </c>
      <c r="AH34" s="202">
        <v>5071</v>
      </c>
      <c r="AI34" s="202">
        <v>10080</v>
      </c>
      <c r="AJ34" s="202">
        <v>514</v>
      </c>
      <c r="AK34" s="202">
        <v>7870</v>
      </c>
      <c r="AL34" s="202">
        <v>4267</v>
      </c>
      <c r="AM34" s="202">
        <v>77116</v>
      </c>
      <c r="AN34" s="202">
        <v>69127</v>
      </c>
      <c r="AO34" s="202">
        <v>30033</v>
      </c>
      <c r="AP34" s="202">
        <v>176276</v>
      </c>
      <c r="AQ34" s="202">
        <v>427045</v>
      </c>
      <c r="AR34" s="202"/>
      <c r="AS34" s="251"/>
      <c r="AT34" s="251"/>
      <c r="AU34" s="251"/>
      <c r="AV34" s="251"/>
      <c r="AW34" s="251"/>
      <c r="AX34" s="251"/>
      <c r="AY34" s="251"/>
      <c r="AZ34" s="251"/>
    </row>
    <row r="35" spans="1:52" s="206" customFormat="1" ht="12.75">
      <c r="A35" s="199">
        <v>39628</v>
      </c>
      <c r="B35" s="202">
        <v>13130</v>
      </c>
      <c r="C35" s="202">
        <v>6202</v>
      </c>
      <c r="D35" s="202">
        <v>9691</v>
      </c>
      <c r="E35" s="202">
        <v>2902</v>
      </c>
      <c r="F35" s="202">
        <v>7925</v>
      </c>
      <c r="G35" s="202">
        <v>374</v>
      </c>
      <c r="H35" s="202">
        <v>4239</v>
      </c>
      <c r="I35" s="202">
        <v>2367</v>
      </c>
      <c r="J35" s="202">
        <v>46830</v>
      </c>
      <c r="K35" s="201">
        <v>35598</v>
      </c>
      <c r="L35" s="201">
        <v>0</v>
      </c>
      <c r="M35" s="202">
        <v>82428</v>
      </c>
      <c r="N35" s="201">
        <v>485654</v>
      </c>
      <c r="O35" s="203">
        <v>0.17</v>
      </c>
      <c r="P35" s="202">
        <f t="shared" si="31"/>
        <v>39620.15925948783</v>
      </c>
      <c r="Q35" s="202">
        <f t="shared" si="32"/>
        <v>9618.921903806382</v>
      </c>
      <c r="R35" s="202">
        <f t="shared" si="33"/>
        <v>43231.43925972791</v>
      </c>
      <c r="S35" s="202">
        <f t="shared" si="34"/>
        <v>23533.4750501792</v>
      </c>
      <c r="T35" s="202">
        <f t="shared" si="35"/>
        <v>24552.63000585178</v>
      </c>
      <c r="U35" s="202">
        <f t="shared" si="36"/>
        <v>1189.7251121185227</v>
      </c>
      <c r="V35" s="202">
        <f t="shared" si="37"/>
        <v>10908.464473176919</v>
      </c>
      <c r="W35" s="202">
        <f t="shared" si="38"/>
        <v>4462.902546999987</v>
      </c>
      <c r="X35" s="202">
        <f t="shared" si="39"/>
        <v>157117.71761134855</v>
      </c>
      <c r="Y35" s="202">
        <f t="shared" si="40"/>
        <v>110204.54545454546</v>
      </c>
      <c r="Z35" s="202">
        <f t="shared" si="41"/>
        <v>90704.54545454546</v>
      </c>
      <c r="AA35" s="202">
        <f t="shared" si="42"/>
        <v>358026.8085204395</v>
      </c>
      <c r="AB35" s="202">
        <f t="shared" si="43"/>
        <v>383136.36363636365</v>
      </c>
      <c r="AC35" s="204">
        <f t="shared" si="44"/>
        <v>0.9344631376734688</v>
      </c>
      <c r="AD35" s="205"/>
      <c r="AE35" s="202">
        <v>13130</v>
      </c>
      <c r="AF35" s="202">
        <v>6202</v>
      </c>
      <c r="AG35" s="202">
        <v>9691</v>
      </c>
      <c r="AH35" s="202">
        <v>2902</v>
      </c>
      <c r="AI35" s="202">
        <v>7925</v>
      </c>
      <c r="AJ35" s="202">
        <v>374</v>
      </c>
      <c r="AK35" s="202">
        <v>4239</v>
      </c>
      <c r="AL35" s="202">
        <v>2367</v>
      </c>
      <c r="AM35" s="202">
        <v>46830</v>
      </c>
      <c r="AN35" s="202">
        <v>35598</v>
      </c>
      <c r="AO35" s="202">
        <v>0</v>
      </c>
      <c r="AP35" s="202">
        <v>82428</v>
      </c>
      <c r="AQ35" s="202">
        <v>485654</v>
      </c>
      <c r="AR35" s="202"/>
      <c r="AS35" s="251"/>
      <c r="AT35" s="251"/>
      <c r="AU35" s="251"/>
      <c r="AV35" s="251"/>
      <c r="AW35" s="251"/>
      <c r="AX35" s="251"/>
      <c r="AY35" s="251"/>
      <c r="AZ35" s="251"/>
    </row>
    <row r="36" spans="1:44" s="60" customFormat="1" ht="12.75">
      <c r="A36" s="89"/>
      <c r="B36" s="78"/>
      <c r="C36" s="78"/>
      <c r="D36" s="78"/>
      <c r="E36" s="78"/>
      <c r="F36" s="78"/>
      <c r="G36" s="78"/>
      <c r="H36" s="78"/>
      <c r="I36" s="78"/>
      <c r="J36" s="78"/>
      <c r="K36" s="52"/>
      <c r="L36" s="52"/>
      <c r="M36" s="78"/>
      <c r="N36" s="52"/>
      <c r="O36" s="64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6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</row>
    <row r="37" spans="1:44" s="60" customFormat="1" ht="12.75">
      <c r="A37" s="89"/>
      <c r="B37" s="51">
        <f>'[8]MONTH6'!B31</f>
        <v>0</v>
      </c>
      <c r="C37" s="51">
        <f>'[8]MONTH6'!C31</f>
        <v>0</v>
      </c>
      <c r="D37" s="51">
        <f>'[8]MONTH6'!D31</f>
        <v>0</v>
      </c>
      <c r="E37" s="51">
        <f>'[8]MONTH6'!E31</f>
        <v>0</v>
      </c>
      <c r="F37" s="51">
        <f>'[8]MONTH6'!F31</f>
        <v>0</v>
      </c>
      <c r="G37" s="51">
        <f>'[8]MONTH6'!G31</f>
        <v>0</v>
      </c>
      <c r="H37" s="51">
        <f>'[8]MONTH6'!H31</f>
        <v>0</v>
      </c>
      <c r="I37" s="51">
        <f>'[8]MONTH6'!I31</f>
        <v>0</v>
      </c>
      <c r="J37" s="78">
        <f t="shared" si="15"/>
        <v>0</v>
      </c>
      <c r="K37" s="52">
        <f>'[8]MONTH6'!J31</f>
        <v>0</v>
      </c>
      <c r="L37" s="52">
        <f>'[8]MONTH6'!K31</f>
        <v>0</v>
      </c>
      <c r="M37" s="78">
        <f t="shared" si="16"/>
        <v>0</v>
      </c>
      <c r="N37" s="52">
        <f>'[8]MONTH6'!L31</f>
        <v>0</v>
      </c>
      <c r="O37" s="64" t="e">
        <f t="shared" si="17"/>
        <v>#DIV/0!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76"/>
      <c r="AD37" s="77"/>
      <c r="AE37" s="78">
        <f aca="true" t="shared" si="47" ref="AE37:AL37">B37-P37</f>
        <v>0</v>
      </c>
      <c r="AF37" s="51">
        <f t="shared" si="47"/>
        <v>0</v>
      </c>
      <c r="AG37" s="51">
        <f t="shared" si="47"/>
        <v>0</v>
      </c>
      <c r="AH37" s="51">
        <f t="shared" si="47"/>
        <v>0</v>
      </c>
      <c r="AI37" s="51">
        <f t="shared" si="47"/>
        <v>0</v>
      </c>
      <c r="AJ37" s="51">
        <f t="shared" si="47"/>
        <v>0</v>
      </c>
      <c r="AK37" s="51">
        <f t="shared" si="47"/>
        <v>0</v>
      </c>
      <c r="AL37" s="51">
        <f t="shared" si="47"/>
        <v>0</v>
      </c>
      <c r="AM37" s="78">
        <f t="shared" si="27"/>
        <v>0</v>
      </c>
      <c r="AN37" s="78">
        <f t="shared" si="10"/>
        <v>0</v>
      </c>
      <c r="AO37" s="78">
        <f t="shared" si="10"/>
        <v>0</v>
      </c>
      <c r="AP37" s="78">
        <f t="shared" si="11"/>
        <v>0</v>
      </c>
      <c r="AQ37" s="78">
        <f t="shared" si="12"/>
        <v>0</v>
      </c>
      <c r="AR37" s="78"/>
    </row>
    <row r="38" spans="1:130" s="79" customFormat="1" ht="13.5" thickBot="1">
      <c r="A38" s="49" t="s">
        <v>3</v>
      </c>
      <c r="B38" s="181">
        <f aca="true" t="shared" si="48" ref="B38:N38">SUM(B8:B37)</f>
        <v>873264.03</v>
      </c>
      <c r="C38" s="181">
        <f t="shared" si="48"/>
        <v>188941.15000000002</v>
      </c>
      <c r="D38" s="181">
        <f t="shared" si="48"/>
        <v>852414.0599999999</v>
      </c>
      <c r="E38" s="181">
        <f t="shared" si="48"/>
        <v>449300.61</v>
      </c>
      <c r="F38" s="181">
        <f t="shared" si="48"/>
        <v>482156.1</v>
      </c>
      <c r="G38" s="181">
        <f t="shared" si="48"/>
        <v>24150.069999999996</v>
      </c>
      <c r="H38" s="181">
        <f t="shared" si="48"/>
        <v>221345.09</v>
      </c>
      <c r="I38" s="181">
        <f t="shared" si="48"/>
        <v>84657.45000000001</v>
      </c>
      <c r="J38" s="181">
        <f t="shared" si="48"/>
        <v>3176229.560000001</v>
      </c>
      <c r="K38" s="181">
        <f t="shared" si="48"/>
        <v>1543901.24</v>
      </c>
      <c r="L38" s="181">
        <f t="shared" si="48"/>
        <v>2519477</v>
      </c>
      <c r="M38" s="181">
        <f t="shared" si="48"/>
        <v>7239607.800000001</v>
      </c>
      <c r="N38" s="182">
        <f t="shared" si="48"/>
        <v>7415114</v>
      </c>
      <c r="O38" s="64">
        <f>M38/N38</f>
        <v>0.9763312876915986</v>
      </c>
      <c r="P38" s="180">
        <f aca="true" t="shared" si="49" ref="P38:AB38">SUM(P8:P37)</f>
        <v>871643.5037087325</v>
      </c>
      <c r="Q38" s="180">
        <f t="shared" si="49"/>
        <v>211616.2818837405</v>
      </c>
      <c r="R38" s="180">
        <f t="shared" si="49"/>
        <v>951091.6637140142</v>
      </c>
      <c r="S38" s="180">
        <f t="shared" si="49"/>
        <v>517736.4511039421</v>
      </c>
      <c r="T38" s="180">
        <f t="shared" si="49"/>
        <v>540157.8601287394</v>
      </c>
      <c r="U38" s="180">
        <f t="shared" si="49"/>
        <v>26173.952466607487</v>
      </c>
      <c r="V38" s="180">
        <f t="shared" si="49"/>
        <v>239986.21840989226</v>
      </c>
      <c r="W38" s="180">
        <f t="shared" si="49"/>
        <v>98183.85603399976</v>
      </c>
      <c r="X38" s="180">
        <f t="shared" si="49"/>
        <v>3142354.3522269716</v>
      </c>
      <c r="Y38" s="180">
        <f t="shared" si="49"/>
        <v>2204090.9090909087</v>
      </c>
      <c r="Z38" s="180">
        <f t="shared" si="49"/>
        <v>1814090.9090909085</v>
      </c>
      <c r="AA38" s="180">
        <f t="shared" si="49"/>
        <v>7003418.452797438</v>
      </c>
      <c r="AB38" s="180">
        <f t="shared" si="49"/>
        <v>7662727.272727271</v>
      </c>
      <c r="AC38" s="163">
        <f>AA38/AB38</f>
        <v>0.913958986603059</v>
      </c>
      <c r="AD38" s="179"/>
      <c r="AE38" s="180" t="e">
        <f aca="true" t="shared" si="50" ref="AE38:AQ38">SUM(AE8:AE37)</f>
        <v>#REF!</v>
      </c>
      <c r="AF38" s="180" t="e">
        <f t="shared" si="50"/>
        <v>#REF!</v>
      </c>
      <c r="AG38" s="180" t="e">
        <f t="shared" si="50"/>
        <v>#REF!</v>
      </c>
      <c r="AH38" s="180" t="e">
        <f t="shared" si="50"/>
        <v>#REF!</v>
      </c>
      <c r="AI38" s="180" t="e">
        <f t="shared" si="50"/>
        <v>#REF!</v>
      </c>
      <c r="AJ38" s="180" t="e">
        <f t="shared" si="50"/>
        <v>#REF!</v>
      </c>
      <c r="AK38" s="180" t="e">
        <f t="shared" si="50"/>
        <v>#REF!</v>
      </c>
      <c r="AL38" s="180" t="e">
        <f t="shared" si="50"/>
        <v>#REF!</v>
      </c>
      <c r="AM38" s="180" t="e">
        <f t="shared" si="50"/>
        <v>#REF!</v>
      </c>
      <c r="AN38" s="180">
        <f t="shared" si="50"/>
        <v>-611937.4081818183</v>
      </c>
      <c r="AO38" s="180">
        <f t="shared" si="50"/>
        <v>706048.1818181819</v>
      </c>
      <c r="AP38" s="180" t="e">
        <f t="shared" si="50"/>
        <v>#REF!</v>
      </c>
      <c r="AQ38" s="180">
        <f t="shared" si="50"/>
        <v>518659.4545454534</v>
      </c>
      <c r="AR38" s="180" t="e">
        <f>AP38/AQ38</f>
        <v>#REF!</v>
      </c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</row>
    <row r="39" spans="1:130" s="79" customFormat="1" ht="13.5" thickTop="1">
      <c r="A39" s="49" t="s">
        <v>4</v>
      </c>
      <c r="B39" s="174">
        <f aca="true" t="shared" si="51" ref="B39:N39">SUM(P8:P37)</f>
        <v>871643.5037087325</v>
      </c>
      <c r="C39" s="174">
        <f t="shared" si="51"/>
        <v>211616.2818837405</v>
      </c>
      <c r="D39" s="174">
        <f t="shared" si="51"/>
        <v>951091.6637140142</v>
      </c>
      <c r="E39" s="174">
        <f t="shared" si="51"/>
        <v>517736.4511039421</v>
      </c>
      <c r="F39" s="174">
        <f t="shared" si="51"/>
        <v>540157.8601287394</v>
      </c>
      <c r="G39" s="174">
        <f t="shared" si="51"/>
        <v>26173.952466607487</v>
      </c>
      <c r="H39" s="174">
        <f t="shared" si="51"/>
        <v>239986.21840989226</v>
      </c>
      <c r="I39" s="174">
        <f t="shared" si="51"/>
        <v>98183.85603399976</v>
      </c>
      <c r="J39" s="174">
        <f t="shared" si="51"/>
        <v>3142354.3522269716</v>
      </c>
      <c r="K39" s="174">
        <f t="shared" si="51"/>
        <v>2204090.9090909087</v>
      </c>
      <c r="L39" s="174">
        <f t="shared" si="51"/>
        <v>1814090.9090909085</v>
      </c>
      <c r="M39" s="174">
        <f t="shared" si="51"/>
        <v>7003418.452797438</v>
      </c>
      <c r="N39" s="176">
        <f t="shared" si="51"/>
        <v>7662727.272727271</v>
      </c>
      <c r="O39" s="175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7"/>
      <c r="AD39" s="175"/>
      <c r="AE39" s="175">
        <f>P38-B38</f>
        <v>-1620.5262912674807</v>
      </c>
      <c r="AF39" s="175">
        <f aca="true" t="shared" si="52" ref="AF39:AQ39">Q38-C38</f>
        <v>22675.131883740483</v>
      </c>
      <c r="AG39" s="175">
        <f t="shared" si="52"/>
        <v>98677.60371401429</v>
      </c>
      <c r="AH39" s="175">
        <f t="shared" si="52"/>
        <v>68435.84110394213</v>
      </c>
      <c r="AI39" s="175">
        <f t="shared" si="52"/>
        <v>58001.760128739406</v>
      </c>
      <c r="AJ39" s="175">
        <f t="shared" si="52"/>
        <v>2023.8824666074906</v>
      </c>
      <c r="AK39" s="175">
        <f t="shared" si="52"/>
        <v>18641.128409892262</v>
      </c>
      <c r="AL39" s="175">
        <f t="shared" si="52"/>
        <v>13526.406033999752</v>
      </c>
      <c r="AM39" s="175">
        <f t="shared" si="52"/>
        <v>-33875.20777302934</v>
      </c>
      <c r="AN39" s="175">
        <f t="shared" si="52"/>
        <v>660189.6690909087</v>
      </c>
      <c r="AO39" s="175">
        <f t="shared" si="52"/>
        <v>-705386.0909090915</v>
      </c>
      <c r="AP39" s="175">
        <f t="shared" si="52"/>
        <v>-236189.34720256273</v>
      </c>
      <c r="AQ39" s="175">
        <f t="shared" si="52"/>
        <v>247613.2727272706</v>
      </c>
      <c r="AR39" s="178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</row>
    <row r="40" spans="1:130" s="79" customFormat="1" ht="13.5" thickBot="1">
      <c r="A40" s="49" t="s">
        <v>5</v>
      </c>
      <c r="B40" s="183">
        <f>B38-B39</f>
        <v>1620.5262912674807</v>
      </c>
      <c r="C40" s="183">
        <f aca="true" t="shared" si="53" ref="C40:N40">C38-C39</f>
        <v>-22675.131883740483</v>
      </c>
      <c r="D40" s="183">
        <f t="shared" si="53"/>
        <v>-98677.60371401429</v>
      </c>
      <c r="E40" s="183">
        <f t="shared" si="53"/>
        <v>-68435.84110394213</v>
      </c>
      <c r="F40" s="183">
        <f t="shared" si="53"/>
        <v>-58001.760128739406</v>
      </c>
      <c r="G40" s="183">
        <f t="shared" si="53"/>
        <v>-2023.8824666074906</v>
      </c>
      <c r="H40" s="183">
        <f t="shared" si="53"/>
        <v>-18641.128409892262</v>
      </c>
      <c r="I40" s="183">
        <f t="shared" si="53"/>
        <v>-13526.406033999752</v>
      </c>
      <c r="J40" s="183">
        <f t="shared" si="53"/>
        <v>33875.20777302934</v>
      </c>
      <c r="K40" s="183">
        <f t="shared" si="53"/>
        <v>-660189.6690909087</v>
      </c>
      <c r="L40" s="183">
        <f t="shared" si="53"/>
        <v>705386.0909090915</v>
      </c>
      <c r="M40" s="183">
        <f t="shared" si="53"/>
        <v>236189.34720256273</v>
      </c>
      <c r="N40" s="184">
        <f t="shared" si="53"/>
        <v>-247613.2727272706</v>
      </c>
      <c r="O40" s="82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4"/>
      <c r="AD40" s="82"/>
      <c r="AE40" s="82" t="e">
        <f>AE39+AE38</f>
        <v>#REF!</v>
      </c>
      <c r="AF40" s="82" t="e">
        <f aca="true" t="shared" si="54" ref="AF40:AQ40">AF39+AF38</f>
        <v>#REF!</v>
      </c>
      <c r="AG40" s="82" t="e">
        <f t="shared" si="54"/>
        <v>#REF!</v>
      </c>
      <c r="AH40" s="82" t="e">
        <f t="shared" si="54"/>
        <v>#REF!</v>
      </c>
      <c r="AI40" s="82" t="e">
        <f t="shared" si="54"/>
        <v>#REF!</v>
      </c>
      <c r="AJ40" s="82" t="e">
        <f t="shared" si="54"/>
        <v>#REF!</v>
      </c>
      <c r="AK40" s="82" t="e">
        <f t="shared" si="54"/>
        <v>#REF!</v>
      </c>
      <c r="AL40" s="82" t="e">
        <f t="shared" si="54"/>
        <v>#REF!</v>
      </c>
      <c r="AM40" s="82" t="e">
        <f t="shared" si="54"/>
        <v>#REF!</v>
      </c>
      <c r="AN40" s="82">
        <f t="shared" si="54"/>
        <v>48252.2609090904</v>
      </c>
      <c r="AO40" s="82">
        <f t="shared" si="54"/>
        <v>662.0909090903588</v>
      </c>
      <c r="AP40" s="82" t="e">
        <f t="shared" si="54"/>
        <v>#REF!</v>
      </c>
      <c r="AQ40" s="82">
        <f t="shared" si="54"/>
        <v>766272.727272724</v>
      </c>
      <c r="AR40" s="98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63" ht="13.5" thickTop="1">
      <c r="A41" s="6"/>
      <c r="B41" s="7"/>
      <c r="C41" s="7"/>
      <c r="D41" s="7"/>
      <c r="E41" s="7"/>
      <c r="F41" s="7"/>
      <c r="G41" s="3"/>
      <c r="H41" s="3"/>
      <c r="I41" s="3"/>
      <c r="J41" s="42"/>
      <c r="K41" s="42"/>
      <c r="L41" s="42"/>
      <c r="M41" s="42"/>
      <c r="N41" s="42"/>
      <c r="O41" s="42"/>
      <c r="P41" s="7"/>
      <c r="Q41" s="42"/>
      <c r="R41" s="42"/>
      <c r="S41" s="42"/>
      <c r="T41" s="42"/>
      <c r="U41" s="8"/>
      <c r="V41" s="41"/>
      <c r="W41" s="41"/>
      <c r="X41" s="66"/>
      <c r="Y41" s="66"/>
      <c r="Z41" s="66"/>
      <c r="AA41" s="66"/>
      <c r="AB41" s="66"/>
      <c r="AC41" s="75"/>
      <c r="AD41" s="41"/>
      <c r="AE41" s="41"/>
      <c r="AF41" s="41"/>
      <c r="AG41" s="41"/>
      <c r="AH41" s="41"/>
      <c r="AI41" s="41"/>
      <c r="AJ41" s="41"/>
      <c r="AK41" s="41"/>
      <c r="AL41" s="8"/>
      <c r="AM41" s="66"/>
      <c r="AN41" s="66"/>
      <c r="AO41" s="66"/>
      <c r="AP41" s="66"/>
      <c r="AQ41" s="66"/>
      <c r="AR41" s="66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3:63" ht="12.75">
      <c r="C42" s="16"/>
      <c r="K42" s="8"/>
      <c r="L42" s="8"/>
      <c r="N42" s="8"/>
      <c r="O42" s="8"/>
      <c r="Q42" s="8"/>
      <c r="R42" s="8"/>
      <c r="S42" s="8"/>
      <c r="T42" s="8"/>
      <c r="U42" s="8"/>
      <c r="V42" s="41"/>
      <c r="W42" s="41"/>
      <c r="AD42" s="41"/>
      <c r="AE42" s="41"/>
      <c r="AF42" s="41"/>
      <c r="AG42" s="41"/>
      <c r="AH42" s="41"/>
      <c r="AI42" s="41"/>
      <c r="AJ42" s="41"/>
      <c r="AK42" s="41"/>
      <c r="AL42" s="8"/>
      <c r="AM42" s="99"/>
      <c r="AN42" s="99"/>
      <c r="AO42" s="99"/>
      <c r="AP42" s="99"/>
      <c r="AQ42" s="99"/>
      <c r="AR42" s="99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16" ht="12.75">
      <c r="A43" s="43" t="s">
        <v>61</v>
      </c>
      <c r="B43" s="101">
        <f>M38</f>
        <v>7239607.800000001</v>
      </c>
      <c r="C43" s="16"/>
      <c r="K43" s="8"/>
      <c r="L43" s="8"/>
      <c r="N43" s="8"/>
      <c r="O43" s="8"/>
      <c r="P43" s="16"/>
    </row>
    <row r="44" spans="1:15" ht="12.75">
      <c r="A44" s="43" t="s">
        <v>64</v>
      </c>
      <c r="B44" s="101">
        <f>N38</f>
        <v>7415114</v>
      </c>
      <c r="K44" s="8"/>
      <c r="L44" s="8"/>
      <c r="N44" s="8"/>
      <c r="O44" s="8"/>
    </row>
    <row r="45" spans="1:16" ht="12.75">
      <c r="A45" s="9" t="s">
        <v>63</v>
      </c>
      <c r="B45" s="102">
        <f>B43/B44</f>
        <v>0.9763312876915986</v>
      </c>
      <c r="K45" s="8"/>
      <c r="L45" s="8"/>
      <c r="N45" s="8"/>
      <c r="O45" s="8"/>
      <c r="P45" s="16"/>
    </row>
    <row r="46" spans="11:15" ht="12.75">
      <c r="K46" s="8"/>
      <c r="L46" s="8"/>
      <c r="N46" s="8"/>
      <c r="O46" s="8"/>
    </row>
    <row r="47" spans="11:15" ht="12.75">
      <c r="K47" s="8"/>
      <c r="L47" s="8"/>
      <c r="N47" s="8"/>
      <c r="O47" s="8"/>
    </row>
    <row r="48" spans="11:15" ht="12.75">
      <c r="K48" s="8"/>
      <c r="L48" s="8"/>
      <c r="N48" s="8"/>
      <c r="O48" s="8"/>
    </row>
    <row r="49" spans="2:15" ht="12.75">
      <c r="B49" s="16">
        <f>March!B43+April!B43+May!B43+June!B38</f>
        <v>3414164.2700000005</v>
      </c>
      <c r="C49" s="16">
        <f>March!C43+April!C43+May!C43+June!C38</f>
        <v>828885.6</v>
      </c>
      <c r="D49" s="16">
        <f>March!D43+April!D43+May!D43+June!D38</f>
        <v>3725356.94</v>
      </c>
      <c r="E49" s="16">
        <f>March!E43+April!E43+May!E43+June!E38</f>
        <v>2027936.06</v>
      </c>
      <c r="F49" s="16">
        <f>March!F43+April!F43+May!F43+June!F38</f>
        <v>2115759.09</v>
      </c>
      <c r="G49" s="16">
        <f>March!G43+April!G43+May!G43+June!G38</f>
        <v>102521.46999999999</v>
      </c>
      <c r="H49" s="16">
        <f>March!H43+April!H43+May!H43+June!H38</f>
        <v>940008.58</v>
      </c>
      <c r="I49" s="16">
        <f>March!I43+April!I43+May!I43+June!I38</f>
        <v>384579.03</v>
      </c>
      <c r="J49" s="222">
        <f>March!J43+April!J43+May!J43+June!J38</f>
        <v>13485980.830000002</v>
      </c>
      <c r="K49" s="222">
        <f>March!K43+April!K43+May!K43+June!K38</f>
        <v>6849911.75</v>
      </c>
      <c r="L49" s="8"/>
      <c r="N49" s="8"/>
      <c r="O49" s="8"/>
    </row>
    <row r="50" spans="2:15" ht="12.75">
      <c r="B50" s="67">
        <f>B49/J49</f>
        <v>0.2531639569296348</v>
      </c>
      <c r="C50" s="67">
        <f>C49/J49</f>
        <v>0.061462759768730876</v>
      </c>
      <c r="D50" s="67">
        <f>D49/J49</f>
        <v>0.27623922849666394</v>
      </c>
      <c r="E50" s="67">
        <f>E49/J49</f>
        <v>0.15037364249315782</v>
      </c>
      <c r="F50" s="67">
        <f>F49/J49</f>
        <v>0.1568858147338772</v>
      </c>
      <c r="G50" s="67">
        <f>G49/J49</f>
        <v>0.007602077393728579</v>
      </c>
      <c r="H50" s="67">
        <f>H49/J49</f>
        <v>0.06970264839090683</v>
      </c>
      <c r="I50" s="67">
        <f>I49/J49</f>
        <v>0.028516949182108543</v>
      </c>
      <c r="J50" s="68">
        <f>SUM(B50:I50)</f>
        <v>1.0039470773888084</v>
      </c>
      <c r="K50" s="248">
        <f>K49/4</f>
        <v>1712477.9375</v>
      </c>
      <c r="L50" s="8"/>
      <c r="N50" s="8"/>
      <c r="O50" s="8"/>
    </row>
    <row r="51" spans="11:15" ht="12.75">
      <c r="K51" s="248">
        <f>K50/22</f>
        <v>77839.90625</v>
      </c>
      <c r="L51" s="8"/>
      <c r="N51" s="8"/>
      <c r="O51" s="8"/>
    </row>
    <row r="52" spans="11:15" ht="12.75">
      <c r="K52" s="8"/>
      <c r="L52" s="8"/>
      <c r="N52" s="8"/>
      <c r="O52" s="8"/>
    </row>
    <row r="53" spans="1:15" ht="12.75">
      <c r="A53" s="243" t="s">
        <v>170</v>
      </c>
      <c r="B53" s="242">
        <v>873264.03</v>
      </c>
      <c r="C53" s="242">
        <v>188941.15</v>
      </c>
      <c r="D53" s="242">
        <v>852414.06</v>
      </c>
      <c r="E53" s="242">
        <v>449300.61</v>
      </c>
      <c r="F53" s="242">
        <v>482156.1</v>
      </c>
      <c r="G53" s="242">
        <v>24150.07</v>
      </c>
      <c r="H53" s="242">
        <v>221345.09</v>
      </c>
      <c r="I53" s="242">
        <v>84657.45</v>
      </c>
      <c r="J53" s="99">
        <v>3176229.56</v>
      </c>
      <c r="K53" s="8"/>
      <c r="L53" s="8"/>
      <c r="N53" s="8"/>
      <c r="O53" s="8"/>
    </row>
    <row r="54" spans="2:15" ht="12.75">
      <c r="B54" s="67">
        <f>B53/J53</f>
        <v>0.2749373159287643</v>
      </c>
      <c r="C54" s="67">
        <f>C53/J53</f>
        <v>0.059485986900770484</v>
      </c>
      <c r="D54" s="67">
        <f>D53/J53</f>
        <v>0.2683729383842143</v>
      </c>
      <c r="E54" s="67">
        <f>E53/J53</f>
        <v>0.14145722200255575</v>
      </c>
      <c r="F54" s="67">
        <f>F53/J53</f>
        <v>0.15180140191126487</v>
      </c>
      <c r="G54" s="67">
        <f>G53/J53</f>
        <v>0.0076033767534107325</v>
      </c>
      <c r="H54" s="67">
        <f>H53/J53</f>
        <v>0.06968800139244344</v>
      </c>
      <c r="I54" s="67">
        <f>I53/J53</f>
        <v>0.026653441887871606</v>
      </c>
      <c r="J54" s="68">
        <f>SUM(B54:I54)</f>
        <v>0.9999996851612954</v>
      </c>
      <c r="K54" s="8"/>
      <c r="L54" s="8"/>
      <c r="N54" s="8"/>
      <c r="O54" s="8"/>
    </row>
    <row r="55" spans="11:15" ht="12.75"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2" ht="12.75">
      <c r="K358" s="8"/>
      <c r="L358" s="8"/>
    </row>
    <row r="359" spans="11:12" ht="12.75">
      <c r="K359" s="8"/>
      <c r="L359" s="8"/>
    </row>
    <row r="360" spans="11:12" ht="12.75">
      <c r="K360" s="8"/>
      <c r="L360" s="8"/>
    </row>
    <row r="361" spans="11:12" ht="12.75">
      <c r="K361" s="8"/>
      <c r="L361" s="8"/>
    </row>
    <row r="362" spans="11:12" ht="12.75">
      <c r="K362" s="8"/>
      <c r="L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</sheetData>
  <mergeCells count="1">
    <mergeCell ref="B3:D3"/>
  </mergeCells>
  <conditionalFormatting sqref="N39 O38 AM8:AQ9 N8:O37 K8:L37">
    <cfRule type="cellIs" priority="1" dxfId="2" operator="greaterThanOrEqual" stopIfTrue="1">
      <formula>#REF!</formula>
    </cfRule>
    <cfRule type="cellIs" priority="2" dxfId="1" operator="between" stopIfTrue="1">
      <formula>#REF!</formula>
      <formula>#REF!</formula>
    </cfRule>
    <cfRule type="cellIs" priority="3" dxfId="0" operator="between" stopIfTrue="1">
      <formula>#REF!</formula>
      <formula>0.1</formula>
    </cfRule>
  </conditionalFormatting>
  <conditionalFormatting sqref="AF8:AL12 AF15:AL19 B37:I37 AF22:AL26 AF29:AL33 AF37:AL37 B8:I33">
    <cfRule type="cellIs" priority="4" dxfId="5" operator="equal" stopIfTrue="1">
      <formula>0</formula>
    </cfRule>
    <cfRule type="cellIs" priority="5" dxfId="0" operator="between" stopIfTrue="1">
      <formula>0</formula>
      <formula>#REF!</formula>
    </cfRule>
    <cfRule type="cellIs" priority="6" dxfId="2" operator="greaterThanOrEqual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376"/>
  <sheetViews>
    <sheetView workbookViewId="0" topLeftCell="A1">
      <selection activeCell="L32" sqref="L32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130" width="9.140625" style="2" customWidth="1"/>
  </cols>
  <sheetData>
    <row r="1" spans="1:39" ht="12.75">
      <c r="A1" s="192" t="s">
        <v>117</v>
      </c>
      <c r="K1" s="8"/>
      <c r="L1" s="8"/>
      <c r="N1" s="8"/>
      <c r="O1" s="4" t="s">
        <v>159</v>
      </c>
      <c r="P1">
        <f>2563+11983</f>
        <v>14546</v>
      </c>
      <c r="Q1" s="4">
        <f>629+688+681</f>
        <v>1998</v>
      </c>
      <c r="R1" s="4">
        <f>1571+550+1655+51+1284</f>
        <v>5111</v>
      </c>
      <c r="S1" s="4">
        <f>2159+2462+1050+3141+250+231+4350</f>
        <v>13643</v>
      </c>
      <c r="T1" s="4">
        <f>319+166+1512+1138+75+3484+1541</f>
        <v>8235</v>
      </c>
      <c r="U1">
        <v>924</v>
      </c>
      <c r="V1" s="5">
        <v>3262</v>
      </c>
      <c r="W1" s="5">
        <v>1272</v>
      </c>
      <c r="X1" s="8">
        <f>SUM(P1:W1)</f>
        <v>48991</v>
      </c>
      <c r="AM1" s="8">
        <f>SUM(AE1:AL1)</f>
        <v>0</v>
      </c>
    </row>
    <row r="2" spans="11:43" ht="12.75">
      <c r="K2" s="8"/>
      <c r="L2" s="8"/>
      <c r="N2" s="8"/>
      <c r="O2" s="4" t="s">
        <v>160</v>
      </c>
      <c r="P2" s="67">
        <f>P1/$X$1</f>
        <v>0.29691167765507953</v>
      </c>
      <c r="Q2" s="67">
        <f aca="true" t="shared" si="0" ref="Q2:W2">Q1/$X$1</f>
        <v>0.04078300095935988</v>
      </c>
      <c r="R2" s="67">
        <f t="shared" si="0"/>
        <v>0.10432528423588006</v>
      </c>
      <c r="S2" s="67">
        <f t="shared" si="0"/>
        <v>0.27847972076503846</v>
      </c>
      <c r="T2" s="67">
        <f t="shared" si="0"/>
        <v>0.16809209854871304</v>
      </c>
      <c r="U2" s="67">
        <f t="shared" si="0"/>
        <v>0.01886060705027454</v>
      </c>
      <c r="V2" s="67">
        <f t="shared" si="0"/>
        <v>0.06658365822293891</v>
      </c>
      <c r="W2" s="67">
        <f t="shared" si="0"/>
        <v>0.025963952562715602</v>
      </c>
      <c r="X2" s="68">
        <f>SUM(P2:W2)</f>
        <v>1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45">
        <f>(3429)*1000</f>
        <v>3429000</v>
      </c>
      <c r="Y3" s="196">
        <f>4551000-Z3</f>
        <v>2275500</v>
      </c>
      <c r="Z3" s="196">
        <f>4551000/2</f>
        <v>2275500</v>
      </c>
      <c r="AA3" s="45">
        <f>SUM(X3:Z3)</f>
        <v>7980000</v>
      </c>
      <c r="AB3" s="45">
        <v>8207000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44" ht="12.75">
      <c r="A4" s="58" t="s">
        <v>165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41"/>
      <c r="Y4" s="41"/>
      <c r="Z4" s="41"/>
      <c r="AA4" s="41"/>
      <c r="AB4" s="41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</row>
    <row r="5" spans="1:44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22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20</v>
      </c>
      <c r="AN5" s="41"/>
      <c r="AO5" s="41"/>
      <c r="AP5" s="41"/>
      <c r="AQ5" s="41"/>
      <c r="AR5" s="70"/>
    </row>
    <row r="6" spans="1:44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</row>
    <row r="7" spans="1:44" ht="25.5">
      <c r="A7" s="48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47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47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47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</row>
    <row r="8" spans="1:44" s="60" customFormat="1" ht="12.75">
      <c r="A8" s="89">
        <f>'[9]MONTH7'!$A2</f>
        <v>39630</v>
      </c>
      <c r="B8" s="51">
        <f>'[9]MONTH7'!B2</f>
        <v>40735.39</v>
      </c>
      <c r="C8" s="51">
        <f>'[9]MONTH7'!C2</f>
        <v>7011.21</v>
      </c>
      <c r="D8" s="51">
        <f>'[9]MONTH7'!D2</f>
        <v>36810.79</v>
      </c>
      <c r="E8" s="51">
        <f>'[9]MONTH7'!E2</f>
        <v>23471.29</v>
      </c>
      <c r="F8" s="51">
        <f>'[9]MONTH7'!F2</f>
        <v>23631.9</v>
      </c>
      <c r="G8" s="51">
        <f>'[9]MONTH7'!G2</f>
        <v>1169.26</v>
      </c>
      <c r="H8" s="51">
        <f>'[9]MONTH7'!H2</f>
        <v>8843.77</v>
      </c>
      <c r="I8" s="51">
        <f>'[9]MONTH7'!I2</f>
        <v>2367.16</v>
      </c>
      <c r="J8" s="78">
        <f>SUM(B8:I8)</f>
        <v>144040.77</v>
      </c>
      <c r="K8" s="52">
        <f>'[9]MONTH7'!J2</f>
        <v>78014.70999999998</v>
      </c>
      <c r="L8" s="52">
        <f>'[9]MONTH7'!K2</f>
        <v>106631</v>
      </c>
      <c r="M8" s="78">
        <f>SUM(J8:L8)</f>
        <v>328686.48</v>
      </c>
      <c r="N8" s="52">
        <f>'[9]MONTH7'!L2</f>
        <v>82449</v>
      </c>
      <c r="O8" s="64">
        <f>M8/N8</f>
        <v>3.9865429538260013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6"/>
      <c r="AD8" s="77"/>
      <c r="AE8" s="51">
        <f>B8-P8</f>
        <v>40735.39</v>
      </c>
      <c r="AF8" s="51">
        <f>C8-Q8</f>
        <v>7011.21</v>
      </c>
      <c r="AG8" s="51">
        <f aca="true" t="shared" si="1" ref="AG8:AL23">D8-R8</f>
        <v>36810.79</v>
      </c>
      <c r="AH8" s="51">
        <f t="shared" si="1"/>
        <v>23471.29</v>
      </c>
      <c r="AI8" s="51">
        <f t="shared" si="1"/>
        <v>23631.9</v>
      </c>
      <c r="AJ8" s="51">
        <f t="shared" si="1"/>
        <v>1169.26</v>
      </c>
      <c r="AK8" s="51">
        <f t="shared" si="1"/>
        <v>8843.77</v>
      </c>
      <c r="AL8" s="51">
        <f t="shared" si="1"/>
        <v>2367.16</v>
      </c>
      <c r="AM8" s="96">
        <f aca="true" t="shared" si="2" ref="AM8:AM22">SUM(AE8:AL8)</f>
        <v>144040.77</v>
      </c>
      <c r="AN8" s="96">
        <f>K8-Y8</f>
        <v>78014.70999999998</v>
      </c>
      <c r="AO8" s="96">
        <f>L8-Z8</f>
        <v>106631</v>
      </c>
      <c r="AP8" s="96">
        <f aca="true" t="shared" si="3" ref="AP8:AP38">SUM(AM8:AO8)</f>
        <v>328686.48</v>
      </c>
      <c r="AQ8" s="96">
        <f>N8-AB8</f>
        <v>82449</v>
      </c>
      <c r="AR8" s="96"/>
    </row>
    <row r="9" spans="1:44" s="60" customFormat="1" ht="12.75">
      <c r="A9" s="89">
        <f>'[9]MONTH7'!$A3</f>
        <v>39631</v>
      </c>
      <c r="B9" s="51">
        <f>'[9]MONTH7'!B3</f>
        <v>40732.28</v>
      </c>
      <c r="C9" s="51">
        <f>'[9]MONTH7'!C3</f>
        <v>11337.49</v>
      </c>
      <c r="D9" s="51">
        <f>'[9]MONTH7'!D3</f>
        <v>44029.32</v>
      </c>
      <c r="E9" s="51">
        <f>'[9]MONTH7'!E3</f>
        <v>20541.21</v>
      </c>
      <c r="F9" s="51">
        <f>'[9]MONTH7'!F3</f>
        <v>23440.08</v>
      </c>
      <c r="G9" s="51">
        <f>'[9]MONTH7'!G3</f>
        <v>1204.28</v>
      </c>
      <c r="H9" s="51">
        <f>'[9]MONTH7'!H3</f>
        <v>9997.07</v>
      </c>
      <c r="I9" s="51">
        <f>'[9]MONTH7'!I3</f>
        <v>2550.64</v>
      </c>
      <c r="J9" s="78">
        <f>SUM(B9:I9)</f>
        <v>153832.37000000002</v>
      </c>
      <c r="K9" s="52">
        <f>'[9]MONTH7'!J3</f>
        <v>69542.65999999999</v>
      </c>
      <c r="L9" s="52">
        <f>'[9]MONTH7'!K3</f>
        <v>152139</v>
      </c>
      <c r="M9" s="78">
        <f>SUM(J9:L9)</f>
        <v>375514.03</v>
      </c>
      <c r="N9" s="52">
        <f>'[9]MONTH7'!L3</f>
        <v>77807</v>
      </c>
      <c r="O9" s="64">
        <f>M9/N9</f>
        <v>4.826224247175705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6"/>
      <c r="AD9" s="77"/>
      <c r="AE9" s="78">
        <f aca="true" t="shared" si="4" ref="AE9:AL39">B9-P9</f>
        <v>40732.28</v>
      </c>
      <c r="AF9" s="51">
        <f t="shared" si="4"/>
        <v>11337.49</v>
      </c>
      <c r="AG9" s="51">
        <f t="shared" si="1"/>
        <v>44029.32</v>
      </c>
      <c r="AH9" s="51">
        <f t="shared" si="1"/>
        <v>20541.21</v>
      </c>
      <c r="AI9" s="51">
        <f t="shared" si="1"/>
        <v>23440.08</v>
      </c>
      <c r="AJ9" s="51">
        <f t="shared" si="1"/>
        <v>1204.28</v>
      </c>
      <c r="AK9" s="51">
        <f t="shared" si="1"/>
        <v>9997.07</v>
      </c>
      <c r="AL9" s="51">
        <f t="shared" si="1"/>
        <v>2550.64</v>
      </c>
      <c r="AM9" s="96">
        <f t="shared" si="2"/>
        <v>153832.37000000002</v>
      </c>
      <c r="AN9" s="96">
        <f aca="true" t="shared" si="5" ref="AN9:AO38">K9-Y9</f>
        <v>69542.65999999999</v>
      </c>
      <c r="AO9" s="96">
        <f t="shared" si="5"/>
        <v>152139</v>
      </c>
      <c r="AP9" s="96">
        <f t="shared" si="3"/>
        <v>375514.03</v>
      </c>
      <c r="AQ9" s="96">
        <f aca="true" t="shared" si="6" ref="AQ9:AQ39">N9-AB9</f>
        <v>77807</v>
      </c>
      <c r="AR9" s="78"/>
    </row>
    <row r="10" spans="1:44" s="60" customFormat="1" ht="12.75">
      <c r="A10" s="89">
        <f>'[9]MONTH7'!$A4</f>
        <v>39632</v>
      </c>
      <c r="B10" s="51">
        <f>'[9]MONTH7'!B4</f>
        <v>40877.41</v>
      </c>
      <c r="C10" s="51">
        <f>'[9]MONTH7'!C4</f>
        <v>6167.19</v>
      </c>
      <c r="D10" s="51">
        <f>'[9]MONTH7'!D4</f>
        <v>36461.29</v>
      </c>
      <c r="E10" s="51">
        <f>'[9]MONTH7'!E4</f>
        <v>18048.3</v>
      </c>
      <c r="F10" s="51">
        <f>'[9]MONTH7'!F4</f>
        <v>20038.07</v>
      </c>
      <c r="G10" s="51">
        <f>'[9]MONTH7'!G4</f>
        <v>754.16</v>
      </c>
      <c r="H10" s="51">
        <f>'[9]MONTH7'!H4</f>
        <v>7433.49</v>
      </c>
      <c r="I10" s="51">
        <f>'[9]MONTH7'!I4</f>
        <v>2925.55</v>
      </c>
      <c r="J10" s="78">
        <f aca="true" t="shared" si="7" ref="J10:J39">SUM(B10:I10)</f>
        <v>132705.46000000002</v>
      </c>
      <c r="K10" s="52">
        <f>'[9]MONTH7'!J4</f>
        <v>71924.85999999997</v>
      </c>
      <c r="L10" s="52">
        <f>'[9]MONTH7'!K4</f>
        <v>110065</v>
      </c>
      <c r="M10" s="78">
        <f aca="true" t="shared" si="8" ref="M10:M39">SUM(J10:L10)</f>
        <v>314695.32</v>
      </c>
      <c r="N10" s="52">
        <f>'[9]MONTH7'!L4</f>
        <v>240441</v>
      </c>
      <c r="O10" s="64">
        <f aca="true" t="shared" si="9" ref="O10:O39">M10/N10</f>
        <v>1.3088255330829601</v>
      </c>
      <c r="P10" s="78">
        <f>$X$3/$X$5*($P$1/$X$1)</f>
        <v>46277.733758148526</v>
      </c>
      <c r="Q10" s="78">
        <f aca="true" t="shared" si="10" ref="Q10:Q17">$X$3/$X$5*($Q$1/$X$1)</f>
        <v>6356.586831347501</v>
      </c>
      <c r="R10" s="78">
        <f aca="true" t="shared" si="11" ref="R10:R17">$X$3/$X$5*($R$1/$X$1)</f>
        <v>16260.518165674213</v>
      </c>
      <c r="S10" s="78">
        <f aca="true" t="shared" si="12" ref="S10:S17">$X$3/$X$5*($S$1/$X$1)</f>
        <v>43404.861931968946</v>
      </c>
      <c r="T10" s="78">
        <f aca="true" t="shared" si="13" ref="T10:T17">$X$3/$X$5*($T$1/$X$1)</f>
        <v>26199.445723797136</v>
      </c>
      <c r="U10" s="78">
        <f aca="true" t="shared" si="14" ref="U10:U17">$X$3/$X$5*($U$1/$X$1)</f>
        <v>2939.682798881427</v>
      </c>
      <c r="V10" s="78">
        <f aca="true" t="shared" si="15" ref="V10:V17">$X$3/$X$5*($V$1/$X$1)</f>
        <v>10377.971093020795</v>
      </c>
      <c r="W10" s="78">
        <f>$X$3/$X$5*($W$1/$X$1)</f>
        <v>4046.836060797809</v>
      </c>
      <c r="X10" s="78">
        <f>SUM(P10:W10)</f>
        <v>155863.63636363635</v>
      </c>
      <c r="Y10" s="78">
        <f>$Y$3/$X$5</f>
        <v>103431.81818181818</v>
      </c>
      <c r="Z10" s="78">
        <f aca="true" t="shared" si="16" ref="Z10:Z17">$Z$3/$X$5</f>
        <v>103431.81818181818</v>
      </c>
      <c r="AA10" s="78">
        <f>SUM(X10:Z10)</f>
        <v>362727.2727272727</v>
      </c>
      <c r="AB10" s="78">
        <f>$AB$3/$X$5</f>
        <v>373045.45454545453</v>
      </c>
      <c r="AC10" s="76">
        <f aca="true" t="shared" si="17" ref="AC10:AC17">AA10/AB10</f>
        <v>0.9723406847812842</v>
      </c>
      <c r="AD10" s="77"/>
      <c r="AE10" s="78">
        <f t="shared" si="4"/>
        <v>-5400.323758148523</v>
      </c>
      <c r="AF10" s="51">
        <f t="shared" si="4"/>
        <v>-189.39683134750157</v>
      </c>
      <c r="AG10" s="51">
        <f t="shared" si="1"/>
        <v>20200.771834325787</v>
      </c>
      <c r="AH10" s="51">
        <f t="shared" si="1"/>
        <v>-25356.561931968947</v>
      </c>
      <c r="AI10" s="51">
        <f t="shared" si="1"/>
        <v>-6161.375723797137</v>
      </c>
      <c r="AJ10" s="51">
        <f t="shared" si="1"/>
        <v>-2185.522798881427</v>
      </c>
      <c r="AK10" s="51">
        <f t="shared" si="1"/>
        <v>-2944.481093020795</v>
      </c>
      <c r="AL10" s="51">
        <f t="shared" si="1"/>
        <v>-1121.2860607978087</v>
      </c>
      <c r="AM10" s="96">
        <f t="shared" si="2"/>
        <v>-23158.176363636347</v>
      </c>
      <c r="AN10" s="96">
        <f t="shared" si="5"/>
        <v>-31506.958181818205</v>
      </c>
      <c r="AO10" s="96">
        <f t="shared" si="5"/>
        <v>6633.1818181818235</v>
      </c>
      <c r="AP10" s="96">
        <f t="shared" si="3"/>
        <v>-48031.95272727273</v>
      </c>
      <c r="AQ10" s="96">
        <f t="shared" si="6"/>
        <v>-132604.45454545453</v>
      </c>
      <c r="AR10" s="78"/>
    </row>
    <row r="11" spans="1:44" s="60" customFormat="1" ht="12.75">
      <c r="A11" s="89">
        <f>'[9]MONTH7'!$A5</f>
        <v>39633</v>
      </c>
      <c r="B11" s="51">
        <f>'[9]MONTH7'!B5</f>
        <v>0</v>
      </c>
      <c r="C11" s="51">
        <f>'[9]MONTH7'!C5</f>
        <v>0</v>
      </c>
      <c r="D11" s="51">
        <f>'[9]MONTH7'!D5</f>
        <v>62.26</v>
      </c>
      <c r="E11" s="51">
        <f>'[9]MONTH7'!E5</f>
        <v>0</v>
      </c>
      <c r="F11" s="51">
        <f>'[9]MONTH7'!F5</f>
        <v>2804.04</v>
      </c>
      <c r="G11" s="51">
        <f>'[9]MONTH7'!G5</f>
        <v>84.78</v>
      </c>
      <c r="H11" s="51">
        <f>'[9]MONTH7'!H5</f>
        <v>93.5</v>
      </c>
      <c r="I11" s="51">
        <f>'[9]MONTH7'!I5</f>
        <v>0</v>
      </c>
      <c r="J11" s="78">
        <f t="shared" si="7"/>
        <v>3044.5800000000004</v>
      </c>
      <c r="K11" s="52">
        <f>'[9]MONTH7'!J5</f>
        <v>44</v>
      </c>
      <c r="L11" s="52">
        <f>'[9]MONTH7'!K5</f>
        <v>0</v>
      </c>
      <c r="M11" s="78">
        <f t="shared" si="8"/>
        <v>3088.5800000000004</v>
      </c>
      <c r="N11" s="52">
        <f>'[9]MONTH7'!L5</f>
        <v>0</v>
      </c>
      <c r="O11" s="64" t="e">
        <f t="shared" si="9"/>
        <v>#DIV/0!</v>
      </c>
      <c r="P11" s="78">
        <f>$X$3/$X$5*($P$1/$X$1)</f>
        <v>46277.733758148526</v>
      </c>
      <c r="Q11" s="78">
        <f t="shared" si="10"/>
        <v>6356.586831347501</v>
      </c>
      <c r="R11" s="78">
        <f t="shared" si="11"/>
        <v>16260.518165674213</v>
      </c>
      <c r="S11" s="78">
        <f t="shared" si="12"/>
        <v>43404.861931968946</v>
      </c>
      <c r="T11" s="78">
        <f t="shared" si="13"/>
        <v>26199.445723797136</v>
      </c>
      <c r="U11" s="78">
        <f t="shared" si="14"/>
        <v>2939.682798881427</v>
      </c>
      <c r="V11" s="78">
        <f t="shared" si="15"/>
        <v>10377.971093020795</v>
      </c>
      <c r="W11" s="78">
        <f aca="true" t="shared" si="18" ref="W11:W17">$X$3/$X$5*($W$1/$X$1)</f>
        <v>4046.836060797809</v>
      </c>
      <c r="X11" s="78">
        <f>SUM(P11:W11)</f>
        <v>155863.63636363635</v>
      </c>
      <c r="Y11" s="78">
        <f aca="true" t="shared" si="19" ref="Y11:Y17">$Y$3/$X$5</f>
        <v>103431.81818181818</v>
      </c>
      <c r="Z11" s="78">
        <f t="shared" si="16"/>
        <v>103431.81818181818</v>
      </c>
      <c r="AA11" s="78">
        <f>SUM(X11:Z11)</f>
        <v>362727.2727272727</v>
      </c>
      <c r="AB11" s="78">
        <f aca="true" t="shared" si="20" ref="AB11:AB17">$AB$3/$X$5</f>
        <v>373045.45454545453</v>
      </c>
      <c r="AC11" s="76">
        <f t="shared" si="17"/>
        <v>0.9723406847812842</v>
      </c>
      <c r="AD11" s="77"/>
      <c r="AE11" s="78">
        <f t="shared" si="4"/>
        <v>-46277.733758148526</v>
      </c>
      <c r="AF11" s="51">
        <f t="shared" si="4"/>
        <v>-6356.586831347501</v>
      </c>
      <c r="AG11" s="51">
        <f t="shared" si="1"/>
        <v>-16198.258165674213</v>
      </c>
      <c r="AH11" s="51">
        <f t="shared" si="1"/>
        <v>-43404.861931968946</v>
      </c>
      <c r="AI11" s="51">
        <f t="shared" si="1"/>
        <v>-23395.405723797136</v>
      </c>
      <c r="AJ11" s="51">
        <f t="shared" si="1"/>
        <v>-2854.902798881427</v>
      </c>
      <c r="AK11" s="51">
        <f t="shared" si="1"/>
        <v>-10284.471093020795</v>
      </c>
      <c r="AL11" s="51">
        <f t="shared" si="1"/>
        <v>-4046.836060797809</v>
      </c>
      <c r="AM11" s="78">
        <f t="shared" si="2"/>
        <v>-152819.05636363634</v>
      </c>
      <c r="AN11" s="78">
        <f t="shared" si="5"/>
        <v>-103387.81818181818</v>
      </c>
      <c r="AO11" s="78">
        <f t="shared" si="5"/>
        <v>-103431.81818181818</v>
      </c>
      <c r="AP11" s="78">
        <f t="shared" si="3"/>
        <v>-359638.6927272727</v>
      </c>
      <c r="AQ11" s="78">
        <f t="shared" si="6"/>
        <v>-373045.45454545453</v>
      </c>
      <c r="AR11" s="78">
        <f>AP11/AQ11</f>
        <v>0.9640613183867429</v>
      </c>
    </row>
    <row r="12" spans="1:44" s="95" customFormat="1" ht="12.75">
      <c r="A12" s="89">
        <f>'[9]MONTH7'!$A6</f>
        <v>39634</v>
      </c>
      <c r="B12" s="51">
        <f>'[9]MONTH7'!B6</f>
        <v>0</v>
      </c>
      <c r="C12" s="51">
        <f>'[9]MONTH7'!C6</f>
        <v>2766.97</v>
      </c>
      <c r="D12" s="51">
        <f>'[9]MONTH7'!D6</f>
        <v>3362.25</v>
      </c>
      <c r="E12" s="51">
        <f>'[9]MONTH7'!E6</f>
        <v>0</v>
      </c>
      <c r="F12" s="51">
        <f>'[9]MONTH7'!F6</f>
        <v>4718.49</v>
      </c>
      <c r="G12" s="51">
        <f>'[9]MONTH7'!G6</f>
        <v>333.26</v>
      </c>
      <c r="H12" s="51">
        <f>'[9]MONTH7'!H6</f>
        <v>140.26</v>
      </c>
      <c r="I12" s="51">
        <f>'[9]MONTH7'!I6</f>
        <v>0</v>
      </c>
      <c r="J12" s="91">
        <f t="shared" si="7"/>
        <v>11321.23</v>
      </c>
      <c r="K12" s="52">
        <f>'[9]MONTH7'!J6</f>
        <v>4425.989999999999</v>
      </c>
      <c r="L12" s="52">
        <f>'[9]MONTH7'!K6</f>
        <v>0</v>
      </c>
      <c r="M12" s="91">
        <f t="shared" si="8"/>
        <v>15747.219999999998</v>
      </c>
      <c r="N12" s="52">
        <f>'[9]MONTH7'!L6</f>
        <v>0</v>
      </c>
      <c r="O12" s="92" t="e">
        <f t="shared" si="9"/>
        <v>#DIV/0!</v>
      </c>
      <c r="P12" s="91">
        <f>$X$3/$X$5*($P$1/$X$1)</f>
        <v>46277.733758148526</v>
      </c>
      <c r="Q12" s="91">
        <f t="shared" si="10"/>
        <v>6356.586831347501</v>
      </c>
      <c r="R12" s="91">
        <f t="shared" si="11"/>
        <v>16260.518165674213</v>
      </c>
      <c r="S12" s="91">
        <f t="shared" si="12"/>
        <v>43404.861931968946</v>
      </c>
      <c r="T12" s="91">
        <f t="shared" si="13"/>
        <v>26199.445723797136</v>
      </c>
      <c r="U12" s="91">
        <f t="shared" si="14"/>
        <v>2939.682798881427</v>
      </c>
      <c r="V12" s="91">
        <f t="shared" si="15"/>
        <v>10377.971093020795</v>
      </c>
      <c r="W12" s="91">
        <f t="shared" si="18"/>
        <v>4046.836060797809</v>
      </c>
      <c r="X12" s="91">
        <f>SUM(P12:W12)</f>
        <v>155863.63636363635</v>
      </c>
      <c r="Y12" s="91">
        <f t="shared" si="19"/>
        <v>103431.81818181818</v>
      </c>
      <c r="Z12" s="91">
        <f t="shared" si="16"/>
        <v>103431.81818181818</v>
      </c>
      <c r="AA12" s="91">
        <f>SUM(X12:Z12)</f>
        <v>362727.2727272727</v>
      </c>
      <c r="AB12" s="91">
        <f t="shared" si="20"/>
        <v>373045.45454545453</v>
      </c>
      <c r="AC12" s="93">
        <f t="shared" si="17"/>
        <v>0.9723406847812842</v>
      </c>
      <c r="AD12" s="94"/>
      <c r="AE12" s="91">
        <f t="shared" si="4"/>
        <v>-46277.733758148526</v>
      </c>
      <c r="AF12" s="90">
        <f t="shared" si="4"/>
        <v>-3589.6168313475014</v>
      </c>
      <c r="AG12" s="90">
        <f t="shared" si="1"/>
        <v>-12898.268165674213</v>
      </c>
      <c r="AH12" s="90">
        <f t="shared" si="1"/>
        <v>-43404.861931968946</v>
      </c>
      <c r="AI12" s="90">
        <f t="shared" si="1"/>
        <v>-21480.95572379714</v>
      </c>
      <c r="AJ12" s="90">
        <f t="shared" si="1"/>
        <v>-2606.4227988814273</v>
      </c>
      <c r="AK12" s="90">
        <f t="shared" si="1"/>
        <v>-10237.711093020795</v>
      </c>
      <c r="AL12" s="90">
        <f t="shared" si="1"/>
        <v>-4046.836060797809</v>
      </c>
      <c r="AM12" s="91">
        <f t="shared" si="2"/>
        <v>-144542.40636363634</v>
      </c>
      <c r="AN12" s="91">
        <f t="shared" si="5"/>
        <v>-99005.82818181817</v>
      </c>
      <c r="AO12" s="91">
        <f t="shared" si="5"/>
        <v>-103431.81818181818</v>
      </c>
      <c r="AP12" s="91">
        <f t="shared" si="3"/>
        <v>-346980.0527272727</v>
      </c>
      <c r="AQ12" s="91">
        <f t="shared" si="6"/>
        <v>-373045.45454545453</v>
      </c>
      <c r="AR12" s="91">
        <f>AP12/AQ12</f>
        <v>0.9301280809065431</v>
      </c>
    </row>
    <row r="13" spans="1:44" s="95" customFormat="1" ht="12.75">
      <c r="A13" s="89">
        <f>'[9]MONTH7'!$A7</f>
        <v>39635</v>
      </c>
      <c r="B13" s="51">
        <f>'[9]MONTH7'!B7</f>
        <v>663.24</v>
      </c>
      <c r="C13" s="51">
        <f>'[9]MONTH7'!C7</f>
        <v>7187.19</v>
      </c>
      <c r="D13" s="51">
        <f>'[9]MONTH7'!D7</f>
        <v>2632.92</v>
      </c>
      <c r="E13" s="51">
        <f>'[9]MONTH7'!E7</f>
        <v>331.52</v>
      </c>
      <c r="F13" s="51">
        <f>'[9]MONTH7'!F7</f>
        <v>5963.1</v>
      </c>
      <c r="G13" s="51">
        <f>'[9]MONTH7'!G7</f>
        <v>40.92</v>
      </c>
      <c r="H13" s="51">
        <f>'[9]MONTH7'!H7</f>
        <v>194.8</v>
      </c>
      <c r="I13" s="51">
        <f>'[9]MONTH7'!I7</f>
        <v>0</v>
      </c>
      <c r="J13" s="91">
        <f t="shared" si="7"/>
        <v>17013.69</v>
      </c>
      <c r="K13" s="52">
        <f>'[9]MONTH7'!J7</f>
        <v>15599.720000000001</v>
      </c>
      <c r="L13" s="52">
        <f>'[9]MONTH7'!K7</f>
        <v>0</v>
      </c>
      <c r="M13" s="91">
        <f t="shared" si="8"/>
        <v>32613.41</v>
      </c>
      <c r="N13" s="52">
        <f>'[9]MONTH7'!L7</f>
        <v>0</v>
      </c>
      <c r="O13" s="92" t="e">
        <f t="shared" si="9"/>
        <v>#DIV/0!</v>
      </c>
      <c r="P13" s="91">
        <f>$X$3/$X$5*($P$1/$X$1)</f>
        <v>46277.733758148526</v>
      </c>
      <c r="Q13" s="91">
        <f t="shared" si="10"/>
        <v>6356.586831347501</v>
      </c>
      <c r="R13" s="91">
        <f t="shared" si="11"/>
        <v>16260.518165674213</v>
      </c>
      <c r="S13" s="91">
        <f t="shared" si="12"/>
        <v>43404.861931968946</v>
      </c>
      <c r="T13" s="91">
        <f t="shared" si="13"/>
        <v>26199.445723797136</v>
      </c>
      <c r="U13" s="91">
        <f t="shared" si="14"/>
        <v>2939.682798881427</v>
      </c>
      <c r="V13" s="91">
        <f t="shared" si="15"/>
        <v>10377.971093020795</v>
      </c>
      <c r="W13" s="91">
        <f t="shared" si="18"/>
        <v>4046.836060797809</v>
      </c>
      <c r="X13" s="91">
        <f>SUM(P13:W13)</f>
        <v>155863.63636363635</v>
      </c>
      <c r="Y13" s="91">
        <f t="shared" si="19"/>
        <v>103431.81818181818</v>
      </c>
      <c r="Z13" s="91">
        <f t="shared" si="16"/>
        <v>103431.81818181818</v>
      </c>
      <c r="AA13" s="91">
        <f>SUM(X13:Z13)</f>
        <v>362727.2727272727</v>
      </c>
      <c r="AB13" s="91">
        <f t="shared" si="20"/>
        <v>373045.45454545453</v>
      </c>
      <c r="AC13" s="93">
        <f t="shared" si="17"/>
        <v>0.9723406847812842</v>
      </c>
      <c r="AD13" s="94"/>
      <c r="AE13" s="91">
        <f t="shared" si="4"/>
        <v>-45614.49375814853</v>
      </c>
      <c r="AF13" s="90">
        <f t="shared" si="4"/>
        <v>830.6031686524984</v>
      </c>
      <c r="AG13" s="90">
        <f t="shared" si="1"/>
        <v>-13627.598165674213</v>
      </c>
      <c r="AH13" s="90">
        <f t="shared" si="1"/>
        <v>-43073.34193196895</v>
      </c>
      <c r="AI13" s="90">
        <f t="shared" si="1"/>
        <v>-20236.345723797138</v>
      </c>
      <c r="AJ13" s="90">
        <f t="shared" si="1"/>
        <v>-2898.762798881427</v>
      </c>
      <c r="AK13" s="90">
        <f t="shared" si="1"/>
        <v>-10183.171093020796</v>
      </c>
      <c r="AL13" s="90">
        <f t="shared" si="1"/>
        <v>-4046.836060797809</v>
      </c>
      <c r="AM13" s="91">
        <f t="shared" si="2"/>
        <v>-138849.94636363635</v>
      </c>
      <c r="AN13" s="91">
        <f t="shared" si="5"/>
        <v>-87832.09818181818</v>
      </c>
      <c r="AO13" s="91">
        <f t="shared" si="5"/>
        <v>-103431.81818181818</v>
      </c>
      <c r="AP13" s="91">
        <f t="shared" si="3"/>
        <v>-330113.8627272727</v>
      </c>
      <c r="AQ13" s="91">
        <f t="shared" si="6"/>
        <v>-373045.45454545453</v>
      </c>
      <c r="AR13" s="91">
        <f>AP13/AQ13</f>
        <v>0.8849159229925672</v>
      </c>
    </row>
    <row r="14" spans="1:44" s="60" customFormat="1" ht="12.75">
      <c r="A14" s="89">
        <f>'[9]MONTH7'!$A8</f>
        <v>39636</v>
      </c>
      <c r="B14" s="51">
        <f>'[9]MONTH7'!B8</f>
        <v>29861.47</v>
      </c>
      <c r="C14" s="51">
        <f>'[9]MONTH7'!C8</f>
        <v>4666.37</v>
      </c>
      <c r="D14" s="51">
        <f>'[9]MONTH7'!D8</f>
        <v>43474.47</v>
      </c>
      <c r="E14" s="51">
        <f>'[9]MONTH7'!E8</f>
        <v>14786.58</v>
      </c>
      <c r="F14" s="51">
        <f>'[9]MONTH7'!F8</f>
        <v>19046.73</v>
      </c>
      <c r="G14" s="51">
        <f>'[9]MONTH7'!G8</f>
        <v>812.65</v>
      </c>
      <c r="H14" s="51">
        <f>'[9]MONTH7'!H8</f>
        <v>9576.29</v>
      </c>
      <c r="I14" s="51">
        <f>'[9]MONTH7'!I8</f>
        <v>3834.04</v>
      </c>
      <c r="J14" s="78">
        <f t="shared" si="7"/>
        <v>126058.59999999999</v>
      </c>
      <c r="K14" s="52">
        <f>'[9]MONTH7'!J8</f>
        <v>73518.19</v>
      </c>
      <c r="L14" s="52">
        <f>'[9]MONTH7'!K8</f>
        <v>120634</v>
      </c>
      <c r="M14" s="78">
        <f t="shared" si="8"/>
        <v>320210.79</v>
      </c>
      <c r="N14" s="52">
        <f>'[9]MONTH7'!L8</f>
        <v>255639</v>
      </c>
      <c r="O14" s="64">
        <f t="shared" si="9"/>
        <v>1.252589745696079</v>
      </c>
      <c r="P14" s="78">
        <f>$X$3/$X$5*($P$1/$X$1)</f>
        <v>46277.733758148526</v>
      </c>
      <c r="Q14" s="78">
        <f t="shared" si="10"/>
        <v>6356.586831347501</v>
      </c>
      <c r="R14" s="78">
        <f t="shared" si="11"/>
        <v>16260.518165674213</v>
      </c>
      <c r="S14" s="78">
        <f t="shared" si="12"/>
        <v>43404.861931968946</v>
      </c>
      <c r="T14" s="78">
        <f t="shared" si="13"/>
        <v>26199.445723797136</v>
      </c>
      <c r="U14" s="78">
        <f t="shared" si="14"/>
        <v>2939.682798881427</v>
      </c>
      <c r="V14" s="78">
        <f t="shared" si="15"/>
        <v>10377.971093020795</v>
      </c>
      <c r="W14" s="78">
        <f t="shared" si="18"/>
        <v>4046.836060797809</v>
      </c>
      <c r="X14" s="78">
        <f>SUM(P14:W14)</f>
        <v>155863.63636363635</v>
      </c>
      <c r="Y14" s="78">
        <f t="shared" si="19"/>
        <v>103431.81818181818</v>
      </c>
      <c r="Z14" s="78">
        <f t="shared" si="16"/>
        <v>103431.81818181818</v>
      </c>
      <c r="AA14" s="78">
        <f>SUM(X14:Z14)</f>
        <v>362727.2727272727</v>
      </c>
      <c r="AB14" s="78">
        <f t="shared" si="20"/>
        <v>373045.45454545453</v>
      </c>
      <c r="AC14" s="76">
        <f t="shared" si="17"/>
        <v>0.9723406847812842</v>
      </c>
      <c r="AD14" s="77"/>
      <c r="AE14" s="78">
        <f t="shared" si="4"/>
        <v>-16416.263758148525</v>
      </c>
      <c r="AF14" s="51">
        <f t="shared" si="4"/>
        <v>-1690.2168313475013</v>
      </c>
      <c r="AG14" s="51">
        <f t="shared" si="1"/>
        <v>27213.951834325788</v>
      </c>
      <c r="AH14" s="51">
        <f t="shared" si="1"/>
        <v>-28618.281931968944</v>
      </c>
      <c r="AI14" s="51">
        <f t="shared" si="1"/>
        <v>-7152.715723797137</v>
      </c>
      <c r="AJ14" s="51">
        <f t="shared" si="1"/>
        <v>-2127.032798881427</v>
      </c>
      <c r="AK14" s="51">
        <f t="shared" si="1"/>
        <v>-801.6810930207939</v>
      </c>
      <c r="AL14" s="51">
        <f t="shared" si="1"/>
        <v>-212.79606079780888</v>
      </c>
      <c r="AM14" s="78">
        <f t="shared" si="2"/>
        <v>-29805.03636363635</v>
      </c>
      <c r="AN14" s="78">
        <f t="shared" si="5"/>
        <v>-29913.628181818174</v>
      </c>
      <c r="AO14" s="78">
        <f t="shared" si="5"/>
        <v>17202.181818181823</v>
      </c>
      <c r="AP14" s="78">
        <f t="shared" si="3"/>
        <v>-42516.4827272727</v>
      </c>
      <c r="AQ14" s="78">
        <f t="shared" si="6"/>
        <v>-117406.45454545453</v>
      </c>
      <c r="AR14" s="78">
        <f>AP14/AQ14</f>
        <v>0.36213070986495227</v>
      </c>
    </row>
    <row r="15" spans="1:44" s="60" customFormat="1" ht="12.75">
      <c r="A15" s="89">
        <f>'[9]MONTH7'!$A9</f>
        <v>39637</v>
      </c>
      <c r="B15" s="51">
        <f>'[9]MONTH7'!B9</f>
        <v>34304.97</v>
      </c>
      <c r="C15" s="51">
        <f>'[9]MONTH7'!C9</f>
        <v>5405.08</v>
      </c>
      <c r="D15" s="51">
        <f>'[9]MONTH7'!D9</f>
        <v>41589.09</v>
      </c>
      <c r="E15" s="51">
        <f>'[9]MONTH7'!E9</f>
        <v>16769.86</v>
      </c>
      <c r="F15" s="51">
        <f>'[9]MONTH7'!F9</f>
        <v>20750.17</v>
      </c>
      <c r="G15" s="51">
        <f>'[9]MONTH7'!G9</f>
        <v>1347.55</v>
      </c>
      <c r="H15" s="51">
        <f>'[9]MONTH7'!H9</f>
        <v>9911.36</v>
      </c>
      <c r="I15" s="51">
        <f>'[9]MONTH7'!I9</f>
        <v>4175.79</v>
      </c>
      <c r="J15" s="78">
        <f t="shared" si="7"/>
        <v>134253.87</v>
      </c>
      <c r="K15" s="52">
        <f>'[9]MONTH7'!J9</f>
        <v>62521.97</v>
      </c>
      <c r="L15" s="52">
        <f>'[9]MONTH7'!K9</f>
        <v>122782</v>
      </c>
      <c r="M15" s="78">
        <f t="shared" si="8"/>
        <v>319557.83999999997</v>
      </c>
      <c r="N15" s="52">
        <f>'[9]MONTH7'!L9</f>
        <v>221605</v>
      </c>
      <c r="O15" s="64">
        <f t="shared" si="9"/>
        <v>1.4420154779901173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6"/>
      <c r="AD15" s="77"/>
      <c r="AE15" s="78">
        <f t="shared" si="4"/>
        <v>34304.97</v>
      </c>
      <c r="AF15" s="51">
        <f t="shared" si="4"/>
        <v>5405.08</v>
      </c>
      <c r="AG15" s="51">
        <f t="shared" si="1"/>
        <v>41589.09</v>
      </c>
      <c r="AH15" s="51">
        <f t="shared" si="1"/>
        <v>16769.86</v>
      </c>
      <c r="AI15" s="51">
        <f t="shared" si="1"/>
        <v>20750.17</v>
      </c>
      <c r="AJ15" s="51">
        <f t="shared" si="1"/>
        <v>1347.55</v>
      </c>
      <c r="AK15" s="51">
        <f t="shared" si="1"/>
        <v>9911.36</v>
      </c>
      <c r="AL15" s="51">
        <f t="shared" si="1"/>
        <v>4175.79</v>
      </c>
      <c r="AM15" s="78">
        <f t="shared" si="2"/>
        <v>134253.87</v>
      </c>
      <c r="AN15" s="78">
        <f t="shared" si="5"/>
        <v>62521.97</v>
      </c>
      <c r="AO15" s="78">
        <f t="shared" si="5"/>
        <v>122782</v>
      </c>
      <c r="AP15" s="78">
        <f t="shared" si="3"/>
        <v>319557.83999999997</v>
      </c>
      <c r="AQ15" s="78">
        <f t="shared" si="6"/>
        <v>221605</v>
      </c>
      <c r="AR15" s="78">
        <f>AP15/AQ15</f>
        <v>1.4420154779901173</v>
      </c>
    </row>
    <row r="16" spans="1:44" s="60" customFormat="1" ht="12.75">
      <c r="A16" s="89">
        <f>'[9]MONTH7'!$A10</f>
        <v>39638</v>
      </c>
      <c r="B16" s="51">
        <f>'[9]MONTH7'!B10</f>
        <v>43571.46</v>
      </c>
      <c r="C16" s="51">
        <f>'[9]MONTH7'!C10</f>
        <v>7257.48</v>
      </c>
      <c r="D16" s="51">
        <f>'[9]MONTH7'!D10</f>
        <v>42820.4</v>
      </c>
      <c r="E16" s="51">
        <f>'[9]MONTH7'!E10</f>
        <v>19627.03</v>
      </c>
      <c r="F16" s="51">
        <f>'[9]MONTH7'!F10</f>
        <v>18938.06</v>
      </c>
      <c r="G16" s="51">
        <f>'[9]MONTH7'!G10</f>
        <v>988.05</v>
      </c>
      <c r="H16" s="51">
        <f>'[9]MONTH7'!H10</f>
        <v>12474.89</v>
      </c>
      <c r="I16" s="51">
        <f>'[9]MONTH7'!I10</f>
        <v>4375.85</v>
      </c>
      <c r="J16" s="78">
        <f t="shared" si="7"/>
        <v>150053.22</v>
      </c>
      <c r="K16" s="52">
        <f>'[9]MONTH7'!J10</f>
        <v>85607.42999999998</v>
      </c>
      <c r="L16" s="52">
        <f>'[9]MONTH7'!K10</f>
        <v>125882</v>
      </c>
      <c r="M16" s="78">
        <f t="shared" si="8"/>
        <v>361542.64999999997</v>
      </c>
      <c r="N16" s="52">
        <f>'[9]MONTH7'!L10</f>
        <v>258671</v>
      </c>
      <c r="O16" s="64">
        <f t="shared" si="9"/>
        <v>1.3976930154520606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76"/>
      <c r="AD16" s="77"/>
      <c r="AE16" s="78">
        <f t="shared" si="4"/>
        <v>43571.46</v>
      </c>
      <c r="AF16" s="51">
        <f t="shared" si="4"/>
        <v>7257.48</v>
      </c>
      <c r="AG16" s="51">
        <f t="shared" si="1"/>
        <v>42820.4</v>
      </c>
      <c r="AH16" s="51">
        <f t="shared" si="1"/>
        <v>19627.03</v>
      </c>
      <c r="AI16" s="51">
        <f t="shared" si="1"/>
        <v>18938.06</v>
      </c>
      <c r="AJ16" s="51">
        <f t="shared" si="1"/>
        <v>988.05</v>
      </c>
      <c r="AK16" s="51">
        <f t="shared" si="1"/>
        <v>12474.89</v>
      </c>
      <c r="AL16" s="51">
        <f t="shared" si="1"/>
        <v>4375.85</v>
      </c>
      <c r="AM16" s="78">
        <f t="shared" si="2"/>
        <v>150053.22</v>
      </c>
      <c r="AN16" s="78">
        <f t="shared" si="5"/>
        <v>85607.42999999998</v>
      </c>
      <c r="AO16" s="78">
        <f t="shared" si="5"/>
        <v>125882</v>
      </c>
      <c r="AP16" s="78">
        <f t="shared" si="3"/>
        <v>361542.64999999997</v>
      </c>
      <c r="AQ16" s="78">
        <f t="shared" si="6"/>
        <v>258671</v>
      </c>
      <c r="AR16" s="78"/>
    </row>
    <row r="17" spans="1:44" s="60" customFormat="1" ht="12.75">
      <c r="A17" s="89">
        <f>'[9]MONTH7'!$A11</f>
        <v>39639</v>
      </c>
      <c r="B17" s="51">
        <f>'[9]MONTH7'!B11</f>
        <v>33084.88</v>
      </c>
      <c r="C17" s="51">
        <f>'[9]MONTH7'!C11</f>
        <v>9063.05</v>
      </c>
      <c r="D17" s="51">
        <f>'[9]MONTH7'!D11</f>
        <v>37431.23</v>
      </c>
      <c r="E17" s="51">
        <f>'[9]MONTH7'!E11</f>
        <v>18422.35</v>
      </c>
      <c r="F17" s="51">
        <f>'[9]MONTH7'!F11</f>
        <v>20588.68</v>
      </c>
      <c r="G17" s="51">
        <f>'[9]MONTH7'!G11</f>
        <v>944.17</v>
      </c>
      <c r="H17" s="51">
        <f>'[9]MONTH7'!H11</f>
        <v>12178.78</v>
      </c>
      <c r="I17" s="51">
        <f>'[9]MONTH7'!I11</f>
        <v>4434.22</v>
      </c>
      <c r="J17" s="78">
        <f t="shared" si="7"/>
        <v>136147.36000000002</v>
      </c>
      <c r="K17" s="52">
        <f>'[9]MONTH7'!J11</f>
        <v>78807.87999999998</v>
      </c>
      <c r="L17" s="52">
        <f>'[9]MONTH7'!K11</f>
        <v>118034</v>
      </c>
      <c r="M17" s="78">
        <f t="shared" si="8"/>
        <v>332989.24</v>
      </c>
      <c r="N17" s="52">
        <f>'[9]MONTH7'!L11</f>
        <v>281398</v>
      </c>
      <c r="O17" s="64">
        <f t="shared" si="9"/>
        <v>1.1833390429214137</v>
      </c>
      <c r="P17" s="78">
        <f>$X$3/$X$5*($P$1/$X$1)</f>
        <v>46277.733758148526</v>
      </c>
      <c r="Q17" s="78">
        <f t="shared" si="10"/>
        <v>6356.586831347501</v>
      </c>
      <c r="R17" s="78">
        <f t="shared" si="11"/>
        <v>16260.518165674213</v>
      </c>
      <c r="S17" s="78">
        <f t="shared" si="12"/>
        <v>43404.861931968946</v>
      </c>
      <c r="T17" s="78">
        <f t="shared" si="13"/>
        <v>26199.445723797136</v>
      </c>
      <c r="U17" s="78">
        <f t="shared" si="14"/>
        <v>2939.682798881427</v>
      </c>
      <c r="V17" s="78">
        <f t="shared" si="15"/>
        <v>10377.971093020795</v>
      </c>
      <c r="W17" s="78">
        <f t="shared" si="18"/>
        <v>4046.836060797809</v>
      </c>
      <c r="X17" s="78">
        <f>SUM(P17:W17)</f>
        <v>155863.63636363635</v>
      </c>
      <c r="Y17" s="78">
        <f t="shared" si="19"/>
        <v>103431.81818181818</v>
      </c>
      <c r="Z17" s="78">
        <f t="shared" si="16"/>
        <v>103431.81818181818</v>
      </c>
      <c r="AA17" s="78">
        <f>SUM(X17:Z17)</f>
        <v>362727.2727272727</v>
      </c>
      <c r="AB17" s="78">
        <f t="shared" si="20"/>
        <v>373045.45454545453</v>
      </c>
      <c r="AC17" s="76">
        <f t="shared" si="17"/>
        <v>0.9723406847812842</v>
      </c>
      <c r="AD17" s="77"/>
      <c r="AE17" s="78">
        <f t="shared" si="4"/>
        <v>-13192.853758148529</v>
      </c>
      <c r="AF17" s="51">
        <f t="shared" si="4"/>
        <v>2706.463168652498</v>
      </c>
      <c r="AG17" s="51">
        <f t="shared" si="1"/>
        <v>21170.71183432579</v>
      </c>
      <c r="AH17" s="51">
        <f t="shared" si="1"/>
        <v>-24982.511931968947</v>
      </c>
      <c r="AI17" s="51">
        <f t="shared" si="1"/>
        <v>-5610.765723797136</v>
      </c>
      <c r="AJ17" s="51">
        <f t="shared" si="1"/>
        <v>-1995.512798881427</v>
      </c>
      <c r="AK17" s="51">
        <f t="shared" si="1"/>
        <v>1800.8089069792059</v>
      </c>
      <c r="AL17" s="51">
        <f t="shared" si="1"/>
        <v>387.3839392021914</v>
      </c>
      <c r="AM17" s="78">
        <f t="shared" si="2"/>
        <v>-19716.276363636352</v>
      </c>
      <c r="AN17" s="78">
        <f t="shared" si="5"/>
        <v>-24623.9381818182</v>
      </c>
      <c r="AO17" s="78">
        <f t="shared" si="5"/>
        <v>14602.181818181823</v>
      </c>
      <c r="AP17" s="78">
        <f t="shared" si="3"/>
        <v>-29738.03272727273</v>
      </c>
      <c r="AQ17" s="78">
        <f t="shared" si="6"/>
        <v>-91647.45454545453</v>
      </c>
      <c r="AR17" s="78"/>
    </row>
    <row r="18" spans="1:44" s="60" customFormat="1" ht="12.75">
      <c r="A18" s="89">
        <f>'[9]MONTH7'!$A12</f>
        <v>39640</v>
      </c>
      <c r="B18" s="51">
        <f>'[9]MONTH7'!B12</f>
        <v>38019.5</v>
      </c>
      <c r="C18" s="51">
        <f>'[9]MONTH7'!C12</f>
        <v>4572.64</v>
      </c>
      <c r="D18" s="51">
        <f>'[9]MONTH7'!D12</f>
        <v>43071.81</v>
      </c>
      <c r="E18" s="51">
        <f>'[9]MONTH7'!E12</f>
        <v>17981.69</v>
      </c>
      <c r="F18" s="51">
        <f>'[9]MONTH7'!F12</f>
        <v>20171.69</v>
      </c>
      <c r="G18" s="51">
        <f>'[9]MONTH7'!G12</f>
        <v>736.65</v>
      </c>
      <c r="H18" s="51">
        <f>'[9]MONTH7'!H12</f>
        <v>10113.93</v>
      </c>
      <c r="I18" s="51">
        <f>'[9]MONTH7'!I12</f>
        <v>4117.52</v>
      </c>
      <c r="J18" s="78">
        <f t="shared" si="7"/>
        <v>138785.43</v>
      </c>
      <c r="K18" s="52">
        <f>'[9]MONTH7'!J12</f>
        <v>76684.20000000001</v>
      </c>
      <c r="L18" s="52">
        <f>'[9]MONTH7'!K12</f>
        <v>114555</v>
      </c>
      <c r="M18" s="78">
        <f t="shared" si="8"/>
        <v>330024.63</v>
      </c>
      <c r="N18" s="52">
        <f>'[9]MONTH7'!L12</f>
        <v>486064</v>
      </c>
      <c r="O18" s="64">
        <f t="shared" si="9"/>
        <v>0.6789736125283913</v>
      </c>
      <c r="P18" s="78">
        <f>$X$3/$X$5*($P$1/$X$1)</f>
        <v>46277.733758148526</v>
      </c>
      <c r="Q18" s="78">
        <f>$X$3/$X$5*($Q$1/$X$1)</f>
        <v>6356.586831347501</v>
      </c>
      <c r="R18" s="78">
        <f>$X$3/$X$5*($R$1/$X$1)</f>
        <v>16260.518165674213</v>
      </c>
      <c r="S18" s="78">
        <f>$X$3/$X$5*($S$1/$X$1)</f>
        <v>43404.861931968946</v>
      </c>
      <c r="T18" s="78">
        <f>$X$3/$X$5*($T$1/$X$1)</f>
        <v>26199.445723797136</v>
      </c>
      <c r="U18" s="78">
        <f>$X$3/$X$5*($U$1/$X$1)</f>
        <v>2939.682798881427</v>
      </c>
      <c r="V18" s="78">
        <f>$X$3/$X$5*($V$1/$X$1)</f>
        <v>10377.971093020795</v>
      </c>
      <c r="W18" s="78">
        <f>$X$3/$X$5*($W$1/$X$1)</f>
        <v>4046.836060797809</v>
      </c>
      <c r="X18" s="78">
        <f>SUM(P18:W18)</f>
        <v>155863.63636363635</v>
      </c>
      <c r="Y18" s="78">
        <f>$Y$3/$X$5</f>
        <v>103431.81818181818</v>
      </c>
      <c r="Z18" s="78">
        <f>$Z$3/$X$5</f>
        <v>103431.81818181818</v>
      </c>
      <c r="AA18" s="78">
        <f>SUM(X18:Z18)</f>
        <v>362727.2727272727</v>
      </c>
      <c r="AB18" s="78">
        <f>$AB$3/$X$5</f>
        <v>373045.45454545453</v>
      </c>
      <c r="AC18" s="76">
        <f>AA18/AB18</f>
        <v>0.9723406847812842</v>
      </c>
      <c r="AD18" s="77"/>
      <c r="AE18" s="78">
        <f t="shared" si="4"/>
        <v>-8258.233758148526</v>
      </c>
      <c r="AF18" s="51">
        <f t="shared" si="4"/>
        <v>-1783.9468313475008</v>
      </c>
      <c r="AG18" s="51">
        <f t="shared" si="1"/>
        <v>26811.291834325784</v>
      </c>
      <c r="AH18" s="51">
        <f t="shared" si="1"/>
        <v>-25423.171931968947</v>
      </c>
      <c r="AI18" s="51">
        <f t="shared" si="1"/>
        <v>-6027.755723797138</v>
      </c>
      <c r="AJ18" s="51">
        <f t="shared" si="1"/>
        <v>-2203.032798881427</v>
      </c>
      <c r="AK18" s="51">
        <f t="shared" si="1"/>
        <v>-264.0410930207945</v>
      </c>
      <c r="AL18" s="51">
        <f t="shared" si="1"/>
        <v>70.6839392021916</v>
      </c>
      <c r="AM18" s="78">
        <f t="shared" si="2"/>
        <v>-17078.20636363636</v>
      </c>
      <c r="AN18" s="78">
        <f t="shared" si="5"/>
        <v>-26747.618181818165</v>
      </c>
      <c r="AO18" s="78">
        <f t="shared" si="5"/>
        <v>11123.181818181823</v>
      </c>
      <c r="AP18" s="78">
        <f t="shared" si="3"/>
        <v>-32702.6427272727</v>
      </c>
      <c r="AQ18" s="78">
        <f t="shared" si="6"/>
        <v>113018.54545454547</v>
      </c>
      <c r="AR18" s="78">
        <f>AP18/AQ18</f>
        <v>-0.28935642903336833</v>
      </c>
    </row>
    <row r="19" spans="1:85" s="95" customFormat="1" ht="12.75">
      <c r="A19" s="89">
        <f>'[9]MONTH7'!$A13</f>
        <v>39641</v>
      </c>
      <c r="B19" s="51">
        <f>'[9]MONTH7'!B13</f>
        <v>7726.91</v>
      </c>
      <c r="C19" s="51">
        <f>'[9]MONTH7'!C13</f>
        <v>9743.02</v>
      </c>
      <c r="D19" s="51">
        <f>'[9]MONTH7'!D13</f>
        <v>17463.47</v>
      </c>
      <c r="E19" s="51">
        <f>'[9]MONTH7'!E13</f>
        <v>8833.38</v>
      </c>
      <c r="F19" s="51">
        <f>'[9]MONTH7'!F13</f>
        <v>11755.84</v>
      </c>
      <c r="G19" s="51">
        <f>'[9]MONTH7'!G13</f>
        <v>388.76</v>
      </c>
      <c r="H19" s="51">
        <f>'[9]MONTH7'!H13</f>
        <v>0</v>
      </c>
      <c r="I19" s="51">
        <f>'[9]MONTH7'!I13</f>
        <v>0</v>
      </c>
      <c r="J19" s="91">
        <f t="shared" si="7"/>
        <v>55911.38</v>
      </c>
      <c r="K19" s="52">
        <f>'[9]MONTH7'!J13</f>
        <v>25103.519999999993</v>
      </c>
      <c r="L19" s="52">
        <f>'[9]MONTH7'!K13</f>
        <v>41083</v>
      </c>
      <c r="M19" s="91">
        <f t="shared" si="8"/>
        <v>122097.9</v>
      </c>
      <c r="N19" s="52">
        <f>'[9]MONTH7'!L13</f>
        <v>0</v>
      </c>
      <c r="O19" s="92" t="e">
        <f t="shared" si="9"/>
        <v>#DIV/0!</v>
      </c>
      <c r="P19" s="91">
        <f>$X$3/$X$5*($P$1/$X$1)</f>
        <v>46277.733758148526</v>
      </c>
      <c r="Q19" s="91">
        <f>$X$3/$X$5*($Q$1/$X$1)</f>
        <v>6356.586831347501</v>
      </c>
      <c r="R19" s="91">
        <f>$X$3/$X$5*($R$1/$X$1)</f>
        <v>16260.518165674213</v>
      </c>
      <c r="S19" s="91">
        <f>$X$3/$X$5*($S$1/$X$1)</f>
        <v>43404.861931968946</v>
      </c>
      <c r="T19" s="91">
        <f>$X$3/$X$5*($T$1/$X$1)</f>
        <v>26199.445723797136</v>
      </c>
      <c r="U19" s="91">
        <f>$X$3/$X$5*($U$1/$X$1)</f>
        <v>2939.682798881427</v>
      </c>
      <c r="V19" s="91">
        <f>$X$3/$X$5*($V$1/$X$1)</f>
        <v>10377.971093020795</v>
      </c>
      <c r="W19" s="91">
        <f>$X$3/$X$5*($W$1/$X$1)</f>
        <v>4046.836060797809</v>
      </c>
      <c r="X19" s="91">
        <f>SUM(P19:W19)</f>
        <v>155863.63636363635</v>
      </c>
      <c r="Y19" s="91">
        <f>$Y$3/$X$5</f>
        <v>103431.81818181818</v>
      </c>
      <c r="Z19" s="91">
        <f>$Z$3/$X$5</f>
        <v>103431.81818181818</v>
      </c>
      <c r="AA19" s="91">
        <f>SUM(X19:Z19)</f>
        <v>362727.2727272727</v>
      </c>
      <c r="AB19" s="91">
        <f>$AB$3/$X$5</f>
        <v>373045.45454545453</v>
      </c>
      <c r="AC19" s="93">
        <f>AA19/AB19</f>
        <v>0.9723406847812842</v>
      </c>
      <c r="AD19" s="94"/>
      <c r="AE19" s="91">
        <f t="shared" si="4"/>
        <v>-38550.82375814853</v>
      </c>
      <c r="AF19" s="90">
        <f t="shared" si="4"/>
        <v>3386.4331686524993</v>
      </c>
      <c r="AG19" s="90">
        <f t="shared" si="1"/>
        <v>1202.9518343257878</v>
      </c>
      <c r="AH19" s="90">
        <f t="shared" si="1"/>
        <v>-34571.48193196895</v>
      </c>
      <c r="AI19" s="90">
        <f t="shared" si="1"/>
        <v>-14443.605723797136</v>
      </c>
      <c r="AJ19" s="90">
        <f t="shared" si="1"/>
        <v>-2550.9227988814273</v>
      </c>
      <c r="AK19" s="90">
        <f t="shared" si="1"/>
        <v>-10377.971093020795</v>
      </c>
      <c r="AL19" s="90">
        <f t="shared" si="1"/>
        <v>-4046.836060797809</v>
      </c>
      <c r="AM19" s="91">
        <f t="shared" si="2"/>
        <v>-99952.25636363636</v>
      </c>
      <c r="AN19" s="91">
        <f t="shared" si="5"/>
        <v>-78328.29818181819</v>
      </c>
      <c r="AO19" s="91">
        <f t="shared" si="5"/>
        <v>-62348.81818181818</v>
      </c>
      <c r="AP19" s="91">
        <f t="shared" si="3"/>
        <v>-240629.37272727274</v>
      </c>
      <c r="AQ19" s="91">
        <f t="shared" si="6"/>
        <v>-373045.45454545453</v>
      </c>
      <c r="AR19" s="91">
        <f>AP19/AQ19</f>
        <v>0.6450403557938346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s="95" customFormat="1" ht="12.75">
      <c r="A20" s="89">
        <f>'[9]MONTH7'!$A14</f>
        <v>39642</v>
      </c>
      <c r="B20" s="51">
        <f>'[9]MONTH7'!B14</f>
        <v>538.83</v>
      </c>
      <c r="C20" s="51">
        <f>'[9]MONTH7'!C14</f>
        <v>8664.34</v>
      </c>
      <c r="D20" s="51">
        <f>'[9]MONTH7'!D14</f>
        <v>14870.76</v>
      </c>
      <c r="E20" s="51">
        <f>'[9]MONTH7'!E14</f>
        <v>2962.17</v>
      </c>
      <c r="F20" s="51">
        <f>'[9]MONTH7'!F14</f>
        <v>7208.16</v>
      </c>
      <c r="G20" s="51">
        <f>'[9]MONTH7'!G14</f>
        <v>236.76</v>
      </c>
      <c r="H20" s="51">
        <f>'[9]MONTH7'!H14</f>
        <v>15.58</v>
      </c>
      <c r="I20" s="51">
        <f>'[9]MONTH7'!I14</f>
        <v>0</v>
      </c>
      <c r="J20" s="91">
        <f t="shared" si="7"/>
        <v>34496.6</v>
      </c>
      <c r="K20" s="52">
        <f>'[9]MONTH7'!J14</f>
        <v>19336.55000000001</v>
      </c>
      <c r="L20" s="52">
        <f>'[9]MONTH7'!K14</f>
        <v>38205</v>
      </c>
      <c r="M20" s="91">
        <f t="shared" si="8"/>
        <v>92038.15000000001</v>
      </c>
      <c r="N20" s="52">
        <f>'[9]MONTH7'!L14</f>
        <v>0</v>
      </c>
      <c r="O20" s="92" t="e">
        <f t="shared" si="9"/>
        <v>#DIV/0!</v>
      </c>
      <c r="P20" s="91">
        <f>$X$3/$X$5*($P$1/$X$1)</f>
        <v>46277.733758148526</v>
      </c>
      <c r="Q20" s="91">
        <f>$X$3/$X$5*($Q$1/$X$1)</f>
        <v>6356.586831347501</v>
      </c>
      <c r="R20" s="91">
        <f>$X$3/$X$5*($R$1/$X$1)</f>
        <v>16260.518165674213</v>
      </c>
      <c r="S20" s="91">
        <f>$X$3/$X$5*($S$1/$X$1)</f>
        <v>43404.861931968946</v>
      </c>
      <c r="T20" s="91">
        <f>$X$3/$X$5*($T$1/$X$1)</f>
        <v>26199.445723797136</v>
      </c>
      <c r="U20" s="91">
        <f>$X$3/$X$5*($U$1/$X$1)</f>
        <v>2939.682798881427</v>
      </c>
      <c r="V20" s="91">
        <f>$X$3/$X$5*($V$1/$X$1)</f>
        <v>10377.971093020795</v>
      </c>
      <c r="W20" s="91">
        <f>$X$3/$X$5*($W$1/$X$1)</f>
        <v>4046.836060797809</v>
      </c>
      <c r="X20" s="91">
        <f>SUM(P20:W20)</f>
        <v>155863.63636363635</v>
      </c>
      <c r="Y20" s="91">
        <f>$Y$3/$X$5</f>
        <v>103431.81818181818</v>
      </c>
      <c r="Z20" s="91">
        <f>$Z$3/$X$5</f>
        <v>103431.81818181818</v>
      </c>
      <c r="AA20" s="91">
        <f>SUM(X20:Z20)</f>
        <v>362727.2727272727</v>
      </c>
      <c r="AB20" s="91">
        <f>$AB$3/$X$5</f>
        <v>373045.45454545453</v>
      </c>
      <c r="AC20" s="93">
        <f>AA20/AB20</f>
        <v>0.9723406847812842</v>
      </c>
      <c r="AD20" s="94"/>
      <c r="AE20" s="91">
        <f t="shared" si="4"/>
        <v>-45738.903758148525</v>
      </c>
      <c r="AF20" s="90">
        <f t="shared" si="4"/>
        <v>2307.753168652499</v>
      </c>
      <c r="AG20" s="90">
        <f t="shared" si="1"/>
        <v>-1389.7581656742132</v>
      </c>
      <c r="AH20" s="90">
        <f t="shared" si="1"/>
        <v>-40442.69193196895</v>
      </c>
      <c r="AI20" s="90">
        <f t="shared" si="1"/>
        <v>-18991.285723797137</v>
      </c>
      <c r="AJ20" s="90">
        <f t="shared" si="1"/>
        <v>-2702.9227988814273</v>
      </c>
      <c r="AK20" s="90">
        <f t="shared" si="1"/>
        <v>-10362.391093020795</v>
      </c>
      <c r="AL20" s="90">
        <f t="shared" si="1"/>
        <v>-4046.836060797809</v>
      </c>
      <c r="AM20" s="91">
        <f t="shared" si="2"/>
        <v>-121367.03636363635</v>
      </c>
      <c r="AN20" s="91">
        <f t="shared" si="5"/>
        <v>-84095.26818181816</v>
      </c>
      <c r="AO20" s="91">
        <f t="shared" si="5"/>
        <v>-65226.81818181818</v>
      </c>
      <c r="AP20" s="91">
        <f t="shared" si="3"/>
        <v>-270689.1227272727</v>
      </c>
      <c r="AQ20" s="91">
        <f t="shared" si="6"/>
        <v>-373045.45454545453</v>
      </c>
      <c r="AR20" s="91">
        <f>AP20/AQ20</f>
        <v>0.7256196783233824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44" s="60" customFormat="1" ht="12.75">
      <c r="A21" s="89">
        <f>'[9]MONTH7'!$A15</f>
        <v>39643</v>
      </c>
      <c r="B21" s="51">
        <f>'[9]MONTH7'!B15</f>
        <v>33884.83</v>
      </c>
      <c r="C21" s="51">
        <f>'[9]MONTH7'!C15</f>
        <v>8840.29</v>
      </c>
      <c r="D21" s="51">
        <f>'[9]MONTH7'!D15</f>
        <v>40222.96</v>
      </c>
      <c r="E21" s="51">
        <f>'[9]MONTH7'!E15</f>
        <v>19852.53</v>
      </c>
      <c r="F21" s="51">
        <f>'[9]MONTH7'!F15</f>
        <v>23024.49</v>
      </c>
      <c r="G21" s="51">
        <f>'[9]MONTH7'!G15</f>
        <v>727.88</v>
      </c>
      <c r="H21" s="51">
        <f>'[9]MONTH7'!H15</f>
        <v>7924.35</v>
      </c>
      <c r="I21" s="51">
        <f>'[9]MONTH7'!I15</f>
        <v>3459.15</v>
      </c>
      <c r="J21" s="78">
        <f t="shared" si="7"/>
        <v>137936.48</v>
      </c>
      <c r="K21" s="52">
        <f>'[9]MONTH7'!J15</f>
        <v>83263.45000000003</v>
      </c>
      <c r="L21" s="52">
        <f>'[9]MONTH7'!K15</f>
        <v>106645</v>
      </c>
      <c r="M21" s="78">
        <f t="shared" si="8"/>
        <v>327844.93000000005</v>
      </c>
      <c r="N21" s="52">
        <f>'[9]MONTH7'!L15</f>
        <v>476914</v>
      </c>
      <c r="O21" s="64">
        <f t="shared" si="9"/>
        <v>0.6874298720524037</v>
      </c>
      <c r="P21" s="78">
        <f>$X$3/$X$5*($P$1/$X$1)</f>
        <v>46277.733758148526</v>
      </c>
      <c r="Q21" s="78">
        <f>$X$3/$X$5*($Q$1/$X$1)</f>
        <v>6356.586831347501</v>
      </c>
      <c r="R21" s="78">
        <f>$X$3/$X$5*($R$1/$X$1)</f>
        <v>16260.518165674213</v>
      </c>
      <c r="S21" s="78">
        <f>$X$3/$X$5*($S$1/$X$1)</f>
        <v>43404.861931968946</v>
      </c>
      <c r="T21" s="78">
        <f>$X$3/$X$5*($T$1/$X$1)</f>
        <v>26199.445723797136</v>
      </c>
      <c r="U21" s="78">
        <f>$X$3/$X$5*($U$1/$X$1)</f>
        <v>2939.682798881427</v>
      </c>
      <c r="V21" s="78">
        <f>$X$3/$X$5*($V$1/$X$1)</f>
        <v>10377.971093020795</v>
      </c>
      <c r="W21" s="78">
        <f>$X$3/$X$5*($W$1/$X$1)</f>
        <v>4046.836060797809</v>
      </c>
      <c r="X21" s="78">
        <f>SUM(P21:W21)</f>
        <v>155863.63636363635</v>
      </c>
      <c r="Y21" s="78">
        <f>$Y$3/$X$5</f>
        <v>103431.81818181818</v>
      </c>
      <c r="Z21" s="78">
        <f>$Z$3/$X$5</f>
        <v>103431.81818181818</v>
      </c>
      <c r="AA21" s="78">
        <f>SUM(X21:Z21)</f>
        <v>362727.2727272727</v>
      </c>
      <c r="AB21" s="78">
        <f>$AB$3/$X$5</f>
        <v>373045.45454545453</v>
      </c>
      <c r="AC21" s="76">
        <f>AA21/AB21</f>
        <v>0.9723406847812842</v>
      </c>
      <c r="AD21" s="77"/>
      <c r="AE21" s="78">
        <f t="shared" si="4"/>
        <v>-12392.903758148525</v>
      </c>
      <c r="AF21" s="51">
        <f t="shared" si="4"/>
        <v>2483.7031686524997</v>
      </c>
      <c r="AG21" s="51">
        <f t="shared" si="1"/>
        <v>23962.441834325786</v>
      </c>
      <c r="AH21" s="51">
        <f t="shared" si="1"/>
        <v>-23552.331931968947</v>
      </c>
      <c r="AI21" s="51">
        <f t="shared" si="1"/>
        <v>-3174.955723797135</v>
      </c>
      <c r="AJ21" s="51">
        <f t="shared" si="1"/>
        <v>-2211.802798881427</v>
      </c>
      <c r="AK21" s="51">
        <f t="shared" si="1"/>
        <v>-2453.6210930207944</v>
      </c>
      <c r="AL21" s="51">
        <f t="shared" si="1"/>
        <v>-587.6860607978088</v>
      </c>
      <c r="AM21" s="78">
        <f t="shared" si="2"/>
        <v>-17927.15636363635</v>
      </c>
      <c r="AN21" s="78">
        <f t="shared" si="5"/>
        <v>-20168.36818181815</v>
      </c>
      <c r="AO21" s="78">
        <f t="shared" si="5"/>
        <v>3213.1818181818235</v>
      </c>
      <c r="AP21" s="78">
        <f t="shared" si="3"/>
        <v>-34882.34272727268</v>
      </c>
      <c r="AQ21" s="78">
        <f t="shared" si="6"/>
        <v>103868.54545454547</v>
      </c>
      <c r="AR21" s="78">
        <f>AP21/AQ21</f>
        <v>-0.3358316280893502</v>
      </c>
    </row>
    <row r="22" spans="1:44" s="60" customFormat="1" ht="12.75">
      <c r="A22" s="89">
        <f>'[9]MONTH7'!$A16</f>
        <v>39644</v>
      </c>
      <c r="B22" s="51">
        <f>'[9]MONTH7'!B16</f>
        <v>39494.54</v>
      </c>
      <c r="C22" s="51">
        <f>'[9]MONTH7'!C16</f>
        <v>8277.6</v>
      </c>
      <c r="D22" s="51">
        <f>'[9]MONTH7'!D16</f>
        <v>42430.34</v>
      </c>
      <c r="E22" s="51">
        <f>'[9]MONTH7'!E16</f>
        <v>20375.04</v>
      </c>
      <c r="F22" s="51">
        <f>'[9]MONTH7'!F16</f>
        <v>23102.47</v>
      </c>
      <c r="G22" s="51">
        <f>'[9]MONTH7'!G16</f>
        <v>1075.68</v>
      </c>
      <c r="H22" s="51">
        <f>'[9]MONTH7'!H16</f>
        <v>12802.18</v>
      </c>
      <c r="I22" s="51">
        <f>'[9]MONTH7'!I16</f>
        <v>3575.78</v>
      </c>
      <c r="J22" s="78">
        <f t="shared" si="7"/>
        <v>151133.62999999998</v>
      </c>
      <c r="K22" s="52">
        <f>'[9]MONTH7'!J16</f>
        <v>83322.52000000006</v>
      </c>
      <c r="L22" s="52">
        <f>'[9]MONTH7'!K16</f>
        <v>121948</v>
      </c>
      <c r="M22" s="78">
        <f t="shared" si="8"/>
        <v>356404.15</v>
      </c>
      <c r="N22" s="52">
        <f>'[9]MONTH7'!L16</f>
        <v>370340</v>
      </c>
      <c r="O22" s="64">
        <f t="shared" si="9"/>
        <v>0.9623701193497868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6"/>
      <c r="AD22" s="77"/>
      <c r="AE22" s="78">
        <f t="shared" si="4"/>
        <v>39494.54</v>
      </c>
      <c r="AF22" s="51">
        <f t="shared" si="4"/>
        <v>8277.6</v>
      </c>
      <c r="AG22" s="51">
        <f t="shared" si="1"/>
        <v>42430.34</v>
      </c>
      <c r="AH22" s="51">
        <f t="shared" si="1"/>
        <v>20375.04</v>
      </c>
      <c r="AI22" s="51">
        <f t="shared" si="1"/>
        <v>23102.47</v>
      </c>
      <c r="AJ22" s="51">
        <f t="shared" si="1"/>
        <v>1075.68</v>
      </c>
      <c r="AK22" s="51">
        <f t="shared" si="1"/>
        <v>12802.18</v>
      </c>
      <c r="AL22" s="51">
        <f t="shared" si="1"/>
        <v>3575.78</v>
      </c>
      <c r="AM22" s="78">
        <f t="shared" si="2"/>
        <v>151133.62999999998</v>
      </c>
      <c r="AN22" s="78">
        <f t="shared" si="5"/>
        <v>83322.52000000006</v>
      </c>
      <c r="AO22" s="78">
        <f t="shared" si="5"/>
        <v>121948</v>
      </c>
      <c r="AP22" s="78">
        <f t="shared" si="3"/>
        <v>356404.15</v>
      </c>
      <c r="AQ22" s="78">
        <f t="shared" si="6"/>
        <v>370340</v>
      </c>
      <c r="AR22" s="78">
        <f>AP22/AQ22</f>
        <v>0.9623701193497868</v>
      </c>
    </row>
    <row r="23" spans="1:44" s="60" customFormat="1" ht="12.75">
      <c r="A23" s="89">
        <f>'[9]MONTH7'!$A17</f>
        <v>39645</v>
      </c>
      <c r="B23" s="51">
        <f>'[9]MONTH7'!B17</f>
        <v>37980.91</v>
      </c>
      <c r="C23" s="51">
        <f>'[9]MONTH7'!C17</f>
        <v>6038.13</v>
      </c>
      <c r="D23" s="51">
        <f>'[9]MONTH7'!D17</f>
        <v>41837.66</v>
      </c>
      <c r="E23" s="51">
        <f>'[9]MONTH7'!E17</f>
        <v>19109.79</v>
      </c>
      <c r="F23" s="51">
        <f>'[9]MONTH7'!F17</f>
        <v>18736.69</v>
      </c>
      <c r="G23" s="51">
        <f>'[9]MONTH7'!G17</f>
        <v>1578.46</v>
      </c>
      <c r="H23" s="51">
        <f>'[9]MONTH7'!H17</f>
        <v>10550.3</v>
      </c>
      <c r="I23" s="51">
        <f>'[9]MONTH7'!I17</f>
        <v>3850.81</v>
      </c>
      <c r="J23" s="78">
        <f t="shared" si="7"/>
        <v>139682.75000000003</v>
      </c>
      <c r="K23" s="52">
        <f>'[9]MONTH7'!J17</f>
        <v>64536.78999999997</v>
      </c>
      <c r="L23" s="52">
        <f>'[9]MONTH7'!K17</f>
        <v>107164</v>
      </c>
      <c r="M23" s="78">
        <f t="shared" si="8"/>
        <v>311383.54000000004</v>
      </c>
      <c r="N23" s="52">
        <f>'[9]MONTH7'!L17</f>
        <v>237880</v>
      </c>
      <c r="O23" s="64">
        <f t="shared" si="9"/>
        <v>1.3089941987556752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76"/>
      <c r="AD23" s="77"/>
      <c r="AE23" s="78">
        <f t="shared" si="4"/>
        <v>37980.91</v>
      </c>
      <c r="AF23" s="51">
        <f t="shared" si="4"/>
        <v>6038.13</v>
      </c>
      <c r="AG23" s="51">
        <f t="shared" si="1"/>
        <v>41837.66</v>
      </c>
      <c r="AH23" s="51">
        <f t="shared" si="1"/>
        <v>19109.79</v>
      </c>
      <c r="AI23" s="51">
        <f t="shared" si="1"/>
        <v>18736.69</v>
      </c>
      <c r="AJ23" s="51">
        <f t="shared" si="1"/>
        <v>1578.46</v>
      </c>
      <c r="AK23" s="51">
        <f t="shared" si="1"/>
        <v>10550.3</v>
      </c>
      <c r="AL23" s="51">
        <f t="shared" si="1"/>
        <v>3850.81</v>
      </c>
      <c r="AM23" s="78">
        <f aca="true" t="shared" si="21" ref="AM23:AM38">SUM(AE23:AL23)</f>
        <v>139682.75000000003</v>
      </c>
      <c r="AN23" s="78">
        <f t="shared" si="5"/>
        <v>64536.78999999997</v>
      </c>
      <c r="AO23" s="78">
        <f t="shared" si="5"/>
        <v>107164</v>
      </c>
      <c r="AP23" s="78">
        <f t="shared" si="3"/>
        <v>311383.54000000004</v>
      </c>
      <c r="AQ23" s="78">
        <f t="shared" si="6"/>
        <v>237880</v>
      </c>
      <c r="AR23" s="78"/>
    </row>
    <row r="24" spans="1:44" s="60" customFormat="1" ht="12.75">
      <c r="A24" s="89">
        <f>'[9]MONTH7'!$A18</f>
        <v>39646</v>
      </c>
      <c r="B24" s="51">
        <f>'[9]MONTH7'!B18</f>
        <v>39296.87</v>
      </c>
      <c r="C24" s="51">
        <f>'[9]MONTH7'!C18</f>
        <v>5416.82</v>
      </c>
      <c r="D24" s="51">
        <f>'[9]MONTH7'!D18</f>
        <v>38836.87</v>
      </c>
      <c r="E24" s="51">
        <f>'[9]MONTH7'!E18</f>
        <v>16985.35</v>
      </c>
      <c r="F24" s="51">
        <f>'[9]MONTH7'!F18</f>
        <v>20260.41</v>
      </c>
      <c r="G24" s="51">
        <f>'[9]MONTH7'!G18</f>
        <v>1075.7</v>
      </c>
      <c r="H24" s="51">
        <f>'[9]MONTH7'!H18</f>
        <v>10386.66</v>
      </c>
      <c r="I24" s="51">
        <f>'[9]MONTH7'!I18</f>
        <v>4450.89</v>
      </c>
      <c r="J24" s="78">
        <f t="shared" si="7"/>
        <v>136709.57</v>
      </c>
      <c r="K24" s="52">
        <f>'[9]MONTH7'!J18</f>
        <v>77906.53999999994</v>
      </c>
      <c r="L24" s="52">
        <f>'[9]MONTH7'!K18</f>
        <v>135096</v>
      </c>
      <c r="M24" s="78">
        <f t="shared" si="8"/>
        <v>349712.1099999999</v>
      </c>
      <c r="N24" s="52">
        <f>'[9]MONTH7'!L18</f>
        <v>330818</v>
      </c>
      <c r="O24" s="64">
        <f t="shared" si="9"/>
        <v>1.057113307014733</v>
      </c>
      <c r="P24" s="78">
        <f>$X$3/$X$5*($P$1/$X$1)</f>
        <v>46277.733758148526</v>
      </c>
      <c r="Q24" s="78">
        <f>$X$3/$X$5*($Q$1/$X$1)</f>
        <v>6356.586831347501</v>
      </c>
      <c r="R24" s="78">
        <f>$X$3/$X$5*($R$1/$X$1)</f>
        <v>16260.518165674213</v>
      </c>
      <c r="S24" s="78">
        <f>$X$3/$X$5*($S$1/$X$1)</f>
        <v>43404.861931968946</v>
      </c>
      <c r="T24" s="78">
        <f>$X$3/$X$5*($T$1/$X$1)</f>
        <v>26199.445723797136</v>
      </c>
      <c r="U24" s="78">
        <f>$X$3/$X$5*($U$1/$X$1)</f>
        <v>2939.682798881427</v>
      </c>
      <c r="V24" s="78">
        <f>$X$3/$X$5*($V$1/$X$1)</f>
        <v>10377.971093020795</v>
      </c>
      <c r="W24" s="78">
        <f>$X$3/$X$5*($W$1/$X$1)</f>
        <v>4046.836060797809</v>
      </c>
      <c r="X24" s="78">
        <f>SUM(P24:W24)</f>
        <v>155863.63636363635</v>
      </c>
      <c r="Y24" s="78">
        <f>$Y$3/$X$5</f>
        <v>103431.81818181818</v>
      </c>
      <c r="Z24" s="78">
        <f>$Z$3/$X$5</f>
        <v>103431.81818181818</v>
      </c>
      <c r="AA24" s="78">
        <f>SUM(X24:Z24)</f>
        <v>362727.2727272727</v>
      </c>
      <c r="AB24" s="78">
        <f>$AB$3/$X$5</f>
        <v>373045.45454545453</v>
      </c>
      <c r="AC24" s="76">
        <f>AA24/AB24</f>
        <v>0.9723406847812842</v>
      </c>
      <c r="AD24" s="77"/>
      <c r="AE24" s="78">
        <f t="shared" si="4"/>
        <v>-6980.863758148524</v>
      </c>
      <c r="AF24" s="51">
        <f t="shared" si="4"/>
        <v>-939.7668313475015</v>
      </c>
      <c r="AG24" s="51">
        <f t="shared" si="4"/>
        <v>22576.35183432579</v>
      </c>
      <c r="AH24" s="51">
        <f t="shared" si="4"/>
        <v>-26419.511931968947</v>
      </c>
      <c r="AI24" s="51">
        <f t="shared" si="4"/>
        <v>-5939.035723797137</v>
      </c>
      <c r="AJ24" s="51">
        <f t="shared" si="4"/>
        <v>-1863.982798881427</v>
      </c>
      <c r="AK24" s="51">
        <f t="shared" si="4"/>
        <v>8.688906979205058</v>
      </c>
      <c r="AL24" s="51">
        <f t="shared" si="4"/>
        <v>404.0539392021915</v>
      </c>
      <c r="AM24" s="78">
        <f t="shared" si="21"/>
        <v>-19154.06636363635</v>
      </c>
      <c r="AN24" s="78">
        <f t="shared" si="5"/>
        <v>-25525.27818181824</v>
      </c>
      <c r="AO24" s="78">
        <f t="shared" si="5"/>
        <v>31664.181818181823</v>
      </c>
      <c r="AP24" s="78">
        <f t="shared" si="3"/>
        <v>-13015.162727272764</v>
      </c>
      <c r="AQ24" s="78">
        <f t="shared" si="6"/>
        <v>-42227.45454545453</v>
      </c>
      <c r="AR24" s="78"/>
    </row>
    <row r="25" spans="1:44" s="60" customFormat="1" ht="12.75">
      <c r="A25" s="89">
        <f>'[9]MONTH7'!$A19</f>
        <v>39647</v>
      </c>
      <c r="B25" s="51">
        <f>'[9]MONTH7'!B19</f>
        <v>39786.49</v>
      </c>
      <c r="C25" s="51">
        <f>'[9]MONTH7'!C19</f>
        <v>5979.55</v>
      </c>
      <c r="D25" s="51">
        <f>'[9]MONTH7'!D19</f>
        <v>35290.78</v>
      </c>
      <c r="E25" s="51">
        <f>'[9]MONTH7'!E19</f>
        <v>17108.49</v>
      </c>
      <c r="F25" s="51">
        <f>'[9]MONTH7'!F19</f>
        <v>17809.49</v>
      </c>
      <c r="G25" s="51">
        <f>'[9]MONTH7'!G19</f>
        <v>1087.35</v>
      </c>
      <c r="H25" s="51">
        <f>'[9]MONTH7'!H19</f>
        <v>10184.07</v>
      </c>
      <c r="I25" s="51">
        <f>'[9]MONTH7'!I19</f>
        <v>4184.14</v>
      </c>
      <c r="J25" s="78">
        <f t="shared" si="7"/>
        <v>131430.36000000004</v>
      </c>
      <c r="K25" s="52">
        <f>'[9]MONTH7'!J19</f>
        <v>78741.92999999998</v>
      </c>
      <c r="L25" s="52">
        <f>'[9]MONTH7'!K19</f>
        <v>105993</v>
      </c>
      <c r="M25" s="78">
        <f t="shared" si="8"/>
        <v>316165.29000000004</v>
      </c>
      <c r="N25" s="52">
        <f>'[9]MONTH7'!L19</f>
        <v>348336</v>
      </c>
      <c r="O25" s="64">
        <f t="shared" si="9"/>
        <v>0.9076446017638143</v>
      </c>
      <c r="P25" s="78">
        <f>$X$3/$X$5*($P$1/$X$1)</f>
        <v>46277.733758148526</v>
      </c>
      <c r="Q25" s="78">
        <f>$X$3/$X$5*($Q$1/$X$1)</f>
        <v>6356.586831347501</v>
      </c>
      <c r="R25" s="78">
        <f>$X$3/$X$5*($R$1/$X$1)</f>
        <v>16260.518165674213</v>
      </c>
      <c r="S25" s="78">
        <f>$X$3/$X$5*($S$1/$X$1)</f>
        <v>43404.861931968946</v>
      </c>
      <c r="T25" s="78">
        <f>$X$3/$X$5*($T$1/$X$1)</f>
        <v>26199.445723797136</v>
      </c>
      <c r="U25" s="78">
        <f>$X$3/$X$5*($U$1/$X$1)</f>
        <v>2939.682798881427</v>
      </c>
      <c r="V25" s="78">
        <f>$X$3/$X$5*($V$1/$X$1)</f>
        <v>10377.971093020795</v>
      </c>
      <c r="W25" s="78">
        <f>$X$3/$X$5*($W$1/$X$1)</f>
        <v>4046.836060797809</v>
      </c>
      <c r="X25" s="78">
        <f>SUM(P25:W25)</f>
        <v>155863.63636363635</v>
      </c>
      <c r="Y25" s="78">
        <f>$Y$3/$X$5</f>
        <v>103431.81818181818</v>
      </c>
      <c r="Z25" s="78">
        <f>$Z$3/$X$5</f>
        <v>103431.81818181818</v>
      </c>
      <c r="AA25" s="78">
        <f>SUM(X25:Z25)</f>
        <v>362727.2727272727</v>
      </c>
      <c r="AB25" s="78">
        <f>$AB$3/$X$5</f>
        <v>373045.45454545453</v>
      </c>
      <c r="AC25" s="76">
        <f>AA25/AB25</f>
        <v>0.9723406847812842</v>
      </c>
      <c r="AD25" s="77"/>
      <c r="AE25" s="78">
        <f t="shared" si="4"/>
        <v>-6491.243758148528</v>
      </c>
      <c r="AF25" s="51">
        <f t="shared" si="4"/>
        <v>-377.036831347501</v>
      </c>
      <c r="AG25" s="51">
        <f t="shared" si="4"/>
        <v>19030.261834325785</v>
      </c>
      <c r="AH25" s="51">
        <f t="shared" si="4"/>
        <v>-26296.371931968944</v>
      </c>
      <c r="AI25" s="51">
        <f t="shared" si="4"/>
        <v>-8389.955723797135</v>
      </c>
      <c r="AJ25" s="51">
        <f t="shared" si="4"/>
        <v>-1852.3327988814272</v>
      </c>
      <c r="AK25" s="51">
        <f t="shared" si="4"/>
        <v>-193.9010930207951</v>
      </c>
      <c r="AL25" s="51">
        <f t="shared" si="4"/>
        <v>137.3039392021915</v>
      </c>
      <c r="AM25" s="78">
        <f t="shared" si="21"/>
        <v>-24433.276363636352</v>
      </c>
      <c r="AN25" s="78">
        <f t="shared" si="5"/>
        <v>-24689.888181818198</v>
      </c>
      <c r="AO25" s="78">
        <f t="shared" si="5"/>
        <v>2561.1818181818235</v>
      </c>
      <c r="AP25" s="78">
        <f t="shared" si="3"/>
        <v>-46561.98272727273</v>
      </c>
      <c r="AQ25" s="78">
        <f t="shared" si="6"/>
        <v>-24709.45454545453</v>
      </c>
      <c r="AR25" s="78">
        <f>AP25/AQ25</f>
        <v>1.8843792217921749</v>
      </c>
    </row>
    <row r="26" spans="1:85" s="95" customFormat="1" ht="12.75">
      <c r="A26" s="89">
        <f>'[9]MONTH7'!$A20</f>
        <v>39648</v>
      </c>
      <c r="B26" s="51">
        <f>'[9]MONTH7'!B20</f>
        <v>9573.97</v>
      </c>
      <c r="C26" s="51">
        <f>'[9]MONTH7'!C20</f>
        <v>8371.33</v>
      </c>
      <c r="D26" s="51">
        <f>'[9]MONTH7'!D20</f>
        <v>8015.47</v>
      </c>
      <c r="E26" s="51">
        <f>'[9]MONTH7'!E20</f>
        <v>7368.86</v>
      </c>
      <c r="F26" s="51">
        <f>'[9]MONTH7'!F20</f>
        <v>8589.66</v>
      </c>
      <c r="G26" s="51">
        <f>'[9]MONTH7'!G20</f>
        <v>403.39</v>
      </c>
      <c r="H26" s="51">
        <f>'[9]MONTH7'!H20</f>
        <v>1511.61</v>
      </c>
      <c r="I26" s="51">
        <f>'[9]MONTH7'!I20</f>
        <v>1508.61</v>
      </c>
      <c r="J26" s="91">
        <f t="shared" si="7"/>
        <v>45342.899999999994</v>
      </c>
      <c r="K26" s="52">
        <f>'[9]MONTH7'!J20</f>
        <v>34011.4</v>
      </c>
      <c r="L26" s="52">
        <f>'[9]MONTH7'!K20</f>
        <v>11166</v>
      </c>
      <c r="M26" s="91">
        <f t="shared" si="8"/>
        <v>90520.29999999999</v>
      </c>
      <c r="N26" s="52">
        <f>'[9]MONTH7'!L20</f>
        <v>32645</v>
      </c>
      <c r="O26" s="92">
        <f t="shared" si="9"/>
        <v>2.772868739470056</v>
      </c>
      <c r="P26" s="91">
        <f>$X$3/$X$5*($P$1/$X$1)</f>
        <v>46277.733758148526</v>
      </c>
      <c r="Q26" s="91">
        <f>$X$3/$X$5*($Q$1/$X$1)</f>
        <v>6356.586831347501</v>
      </c>
      <c r="R26" s="91">
        <f>$X$3/$X$5*($R$1/$X$1)</f>
        <v>16260.518165674213</v>
      </c>
      <c r="S26" s="91">
        <f>$X$3/$X$5*($S$1/$X$1)</f>
        <v>43404.861931968946</v>
      </c>
      <c r="T26" s="91">
        <f>$X$3/$X$5*($T$1/$X$1)</f>
        <v>26199.445723797136</v>
      </c>
      <c r="U26" s="91">
        <f>$X$3/$X$5*($U$1/$X$1)</f>
        <v>2939.682798881427</v>
      </c>
      <c r="V26" s="91">
        <f>$X$3/$X$5*($V$1/$X$1)</f>
        <v>10377.971093020795</v>
      </c>
      <c r="W26" s="91">
        <f>$X$3/$X$5*($W$1/$X$1)</f>
        <v>4046.836060797809</v>
      </c>
      <c r="X26" s="91">
        <f>SUM(P26:W26)</f>
        <v>155863.63636363635</v>
      </c>
      <c r="Y26" s="91">
        <f>$Y$3/$X$5</f>
        <v>103431.81818181818</v>
      </c>
      <c r="Z26" s="91">
        <f>$Z$3/$X$5</f>
        <v>103431.81818181818</v>
      </c>
      <c r="AA26" s="91">
        <f>SUM(X26:Z26)</f>
        <v>362727.2727272727</v>
      </c>
      <c r="AB26" s="91">
        <f>$AB$3/$X$5</f>
        <v>373045.45454545453</v>
      </c>
      <c r="AC26" s="93">
        <f>AA26/AB26</f>
        <v>0.9723406847812842</v>
      </c>
      <c r="AD26" s="94"/>
      <c r="AE26" s="91">
        <f t="shared" si="4"/>
        <v>-36703.763758148525</v>
      </c>
      <c r="AF26" s="90">
        <f t="shared" si="4"/>
        <v>2014.7431686524988</v>
      </c>
      <c r="AG26" s="90">
        <f t="shared" si="4"/>
        <v>-8245.048165674212</v>
      </c>
      <c r="AH26" s="90">
        <f t="shared" si="4"/>
        <v>-36036.001931968945</v>
      </c>
      <c r="AI26" s="90">
        <f t="shared" si="4"/>
        <v>-17609.785723797137</v>
      </c>
      <c r="AJ26" s="90">
        <f t="shared" si="4"/>
        <v>-2536.292798881427</v>
      </c>
      <c r="AK26" s="90">
        <f t="shared" si="4"/>
        <v>-8866.361093020794</v>
      </c>
      <c r="AL26" s="90">
        <f t="shared" si="4"/>
        <v>-2538.2260607978087</v>
      </c>
      <c r="AM26" s="91">
        <f t="shared" si="21"/>
        <v>-110520.73636363634</v>
      </c>
      <c r="AN26" s="91">
        <f t="shared" si="5"/>
        <v>-69420.41818181818</v>
      </c>
      <c r="AO26" s="91">
        <f t="shared" si="5"/>
        <v>-92265.81818181818</v>
      </c>
      <c r="AP26" s="91">
        <f t="shared" si="3"/>
        <v>-272206.9727272727</v>
      </c>
      <c r="AQ26" s="91">
        <f t="shared" si="6"/>
        <v>-340400.45454545453</v>
      </c>
      <c r="AR26" s="91">
        <f>AP26/AQ26</f>
        <v>0.7996668896660484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s="95" customFormat="1" ht="12.75">
      <c r="A27" s="89">
        <f>'[9]MONTH7'!$A21</f>
        <v>39649</v>
      </c>
      <c r="B27" s="51">
        <f>'[9]MONTH7'!B21</f>
        <v>8544.23</v>
      </c>
      <c r="C27" s="51">
        <f>'[9]MONTH7'!C21</f>
        <v>8054.75</v>
      </c>
      <c r="D27" s="51">
        <f>'[9]MONTH7'!D21</f>
        <v>10310.67</v>
      </c>
      <c r="E27" s="51">
        <f>'[9]MONTH7'!E21</f>
        <v>5956.74</v>
      </c>
      <c r="F27" s="51">
        <f>'[9]MONTH7'!F21</f>
        <v>7135.27</v>
      </c>
      <c r="G27" s="51">
        <f>'[9]MONTH7'!G21</f>
        <v>415.06</v>
      </c>
      <c r="H27" s="51">
        <f>'[9]MONTH7'!H21</f>
        <v>1114.24</v>
      </c>
      <c r="I27" s="51">
        <f>'[9]MONTH7'!I21</f>
        <v>0</v>
      </c>
      <c r="J27" s="91">
        <f t="shared" si="7"/>
        <v>41530.96</v>
      </c>
      <c r="K27" s="52">
        <f>'[9]MONTH7'!J21</f>
        <v>23188.91</v>
      </c>
      <c r="L27" s="52">
        <f>'[9]MONTH7'!K21</f>
        <v>14754</v>
      </c>
      <c r="M27" s="91">
        <f t="shared" si="8"/>
        <v>79473.87</v>
      </c>
      <c r="N27" s="52">
        <f>'[9]MONTH7'!L21</f>
        <v>0</v>
      </c>
      <c r="O27" s="92" t="e">
        <f t="shared" si="9"/>
        <v>#DIV/0!</v>
      </c>
      <c r="P27" s="91">
        <f>$X$3/$X$5*($P$1/$X$1)</f>
        <v>46277.733758148526</v>
      </c>
      <c r="Q27" s="91">
        <f>$X$3/$X$5*($Q$1/$X$1)</f>
        <v>6356.586831347501</v>
      </c>
      <c r="R27" s="91">
        <f>$X$3/$X$5*($R$1/$X$1)</f>
        <v>16260.518165674213</v>
      </c>
      <c r="S27" s="91">
        <f>$X$3/$X$5*($S$1/$X$1)</f>
        <v>43404.861931968946</v>
      </c>
      <c r="T27" s="91">
        <f>$X$3/$X$5*($T$1/$X$1)</f>
        <v>26199.445723797136</v>
      </c>
      <c r="U27" s="91">
        <f>$X$3/$X$5*($U$1/$X$1)</f>
        <v>2939.682798881427</v>
      </c>
      <c r="V27" s="91">
        <f>$X$3/$X$5*($V$1/$X$1)</f>
        <v>10377.971093020795</v>
      </c>
      <c r="W27" s="91">
        <f>$X$3/$X$5*($W$1/$X$1)</f>
        <v>4046.836060797809</v>
      </c>
      <c r="X27" s="91">
        <f>SUM(P27:W27)</f>
        <v>155863.63636363635</v>
      </c>
      <c r="Y27" s="91">
        <f>$Y$3/$X$5</f>
        <v>103431.81818181818</v>
      </c>
      <c r="Z27" s="91">
        <f>$Z$3/$X$5</f>
        <v>103431.81818181818</v>
      </c>
      <c r="AA27" s="91">
        <f>SUM(X27:Z27)</f>
        <v>362727.2727272727</v>
      </c>
      <c r="AB27" s="91">
        <f>$AB$3/$X$5</f>
        <v>373045.45454545453</v>
      </c>
      <c r="AC27" s="93">
        <f>AA27/AB27</f>
        <v>0.9723406847812842</v>
      </c>
      <c r="AD27" s="94"/>
      <c r="AE27" s="91">
        <f t="shared" si="4"/>
        <v>-37733.50375814852</v>
      </c>
      <c r="AF27" s="90">
        <f t="shared" si="4"/>
        <v>1698.1631686524988</v>
      </c>
      <c r="AG27" s="90">
        <f t="shared" si="4"/>
        <v>-5949.848165674213</v>
      </c>
      <c r="AH27" s="90">
        <f t="shared" si="4"/>
        <v>-37448.12193196895</v>
      </c>
      <c r="AI27" s="90">
        <f t="shared" si="4"/>
        <v>-19064.175723797136</v>
      </c>
      <c r="AJ27" s="90">
        <f t="shared" si="4"/>
        <v>-2524.622798881427</v>
      </c>
      <c r="AK27" s="90">
        <f t="shared" si="4"/>
        <v>-9263.731093020795</v>
      </c>
      <c r="AL27" s="90">
        <f t="shared" si="4"/>
        <v>-4046.836060797809</v>
      </c>
      <c r="AM27" s="91">
        <f t="shared" si="21"/>
        <v>-114332.67636363635</v>
      </c>
      <c r="AN27" s="91">
        <f t="shared" si="5"/>
        <v>-80242.90818181817</v>
      </c>
      <c r="AO27" s="91">
        <f t="shared" si="5"/>
        <v>-88677.81818181818</v>
      </c>
      <c r="AP27" s="91">
        <f t="shared" si="3"/>
        <v>-283253.4027272727</v>
      </c>
      <c r="AQ27" s="91">
        <f t="shared" si="6"/>
        <v>-373045.45454545453</v>
      </c>
      <c r="AR27" s="91">
        <f>AP27/AQ27</f>
        <v>0.7592999707566711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44" s="60" customFormat="1" ht="12.75">
      <c r="A28" s="89">
        <f>'[9]MONTH7'!$A22</f>
        <v>39650</v>
      </c>
      <c r="B28" s="51">
        <f>'[9]MONTH7'!B22</f>
        <v>36410.1</v>
      </c>
      <c r="C28" s="51">
        <f>'[9]MONTH7'!C22</f>
        <v>6872.24</v>
      </c>
      <c r="D28" s="51">
        <f>'[9]MONTH7'!D22</f>
        <v>39221.38</v>
      </c>
      <c r="E28" s="51">
        <f>'[9]MONTH7'!E22</f>
        <v>18678.83</v>
      </c>
      <c r="F28" s="51">
        <f>'[9]MONTH7'!F22</f>
        <v>20875.17</v>
      </c>
      <c r="G28" s="51">
        <f>'[9]MONTH7'!G22</f>
        <v>922.05</v>
      </c>
      <c r="H28" s="51">
        <f>'[9]MONTH7'!H22</f>
        <v>12661.46</v>
      </c>
      <c r="I28" s="51">
        <f>'[9]MONTH7'!I22</f>
        <v>4215.69</v>
      </c>
      <c r="J28" s="78">
        <f t="shared" si="7"/>
        <v>139856.92</v>
      </c>
      <c r="K28" s="52">
        <f>'[9]MONTH7'!J22</f>
        <v>70558.59000000004</v>
      </c>
      <c r="L28" s="52">
        <f>'[9]MONTH7'!K22</f>
        <v>104853</v>
      </c>
      <c r="M28" s="78">
        <f t="shared" si="8"/>
        <v>315268.51000000007</v>
      </c>
      <c r="N28" s="52">
        <f>'[9]MONTH7'!L22</f>
        <v>377084</v>
      </c>
      <c r="O28" s="64">
        <f t="shared" si="9"/>
        <v>0.8360697086060402</v>
      </c>
      <c r="P28" s="78"/>
      <c r="Q28" s="78"/>
      <c r="R28" s="78"/>
      <c r="S28" s="78"/>
      <c r="T28" s="78"/>
      <c r="U28" s="78"/>
      <c r="V28" s="78"/>
      <c r="W28" s="78"/>
      <c r="X28" s="78">
        <f>SUM(P28:W28)</f>
        <v>0</v>
      </c>
      <c r="Y28" s="78"/>
      <c r="Z28" s="78"/>
      <c r="AA28" s="78">
        <f>SUM(X28:Z28)</f>
        <v>0</v>
      </c>
      <c r="AB28" s="78"/>
      <c r="AC28" s="76"/>
      <c r="AD28" s="77"/>
      <c r="AE28" s="78">
        <f t="shared" si="4"/>
        <v>36410.1</v>
      </c>
      <c r="AF28" s="51">
        <f t="shared" si="4"/>
        <v>6872.24</v>
      </c>
      <c r="AG28" s="51">
        <f t="shared" si="4"/>
        <v>39221.38</v>
      </c>
      <c r="AH28" s="51">
        <f t="shared" si="4"/>
        <v>18678.83</v>
      </c>
      <c r="AI28" s="51">
        <f t="shared" si="4"/>
        <v>20875.17</v>
      </c>
      <c r="AJ28" s="51">
        <f t="shared" si="4"/>
        <v>922.05</v>
      </c>
      <c r="AK28" s="51">
        <f t="shared" si="4"/>
        <v>12661.46</v>
      </c>
      <c r="AL28" s="51">
        <f t="shared" si="4"/>
        <v>4215.69</v>
      </c>
      <c r="AM28" s="78">
        <f t="shared" si="21"/>
        <v>139856.92</v>
      </c>
      <c r="AN28" s="78">
        <f t="shared" si="5"/>
        <v>70558.59000000004</v>
      </c>
      <c r="AO28" s="78">
        <f t="shared" si="5"/>
        <v>104853</v>
      </c>
      <c r="AP28" s="78">
        <f t="shared" si="3"/>
        <v>315268.51000000007</v>
      </c>
      <c r="AQ28" s="78">
        <f t="shared" si="6"/>
        <v>377084</v>
      </c>
      <c r="AR28" s="78">
        <f>AP28/AQ28</f>
        <v>0.8360697086060402</v>
      </c>
    </row>
    <row r="29" spans="1:44" s="60" customFormat="1" ht="12.75">
      <c r="A29" s="89">
        <f>'[9]MONTH7'!$A23</f>
        <v>39651</v>
      </c>
      <c r="B29" s="51">
        <f>'[9]MONTH7'!B23</f>
        <v>36644.8</v>
      </c>
      <c r="C29" s="51">
        <f>'[9]MONTH7'!C23</f>
        <v>7987.98</v>
      </c>
      <c r="D29" s="51">
        <f>'[9]MONTH7'!D23</f>
        <v>51140.16</v>
      </c>
      <c r="E29" s="51">
        <f>'[9]MONTH7'!E23</f>
        <v>21075.86</v>
      </c>
      <c r="F29" s="51">
        <f>'[9]MONTH7'!F23</f>
        <v>26367.94</v>
      </c>
      <c r="G29" s="51">
        <f>'[9]MONTH7'!G23</f>
        <v>1000.71</v>
      </c>
      <c r="H29" s="51">
        <f>'[9]MONTH7'!H23</f>
        <v>9970.09</v>
      </c>
      <c r="I29" s="51">
        <f>'[9]MONTH7'!I23</f>
        <v>5210.14</v>
      </c>
      <c r="J29" s="78">
        <f t="shared" si="7"/>
        <v>159397.68</v>
      </c>
      <c r="K29" s="52">
        <f>'[9]MONTH7'!J23</f>
        <v>78324.63000000003</v>
      </c>
      <c r="L29" s="52">
        <f>'[9]MONTH7'!K23</f>
        <v>135874</v>
      </c>
      <c r="M29" s="78">
        <f t="shared" si="8"/>
        <v>373596.31000000006</v>
      </c>
      <c r="N29" s="52">
        <f>'[9]MONTH7'!L23</f>
        <v>404363</v>
      </c>
      <c r="O29" s="64">
        <f t="shared" si="9"/>
        <v>0.9239131918597895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6"/>
      <c r="AD29" s="77"/>
      <c r="AE29" s="78">
        <f t="shared" si="4"/>
        <v>36644.8</v>
      </c>
      <c r="AF29" s="51">
        <f t="shared" si="4"/>
        <v>7987.98</v>
      </c>
      <c r="AG29" s="51">
        <f t="shared" si="4"/>
        <v>51140.16</v>
      </c>
      <c r="AH29" s="51">
        <f t="shared" si="4"/>
        <v>21075.86</v>
      </c>
      <c r="AI29" s="51">
        <f t="shared" si="4"/>
        <v>26367.94</v>
      </c>
      <c r="AJ29" s="51">
        <f t="shared" si="4"/>
        <v>1000.71</v>
      </c>
      <c r="AK29" s="51">
        <f t="shared" si="4"/>
        <v>9970.09</v>
      </c>
      <c r="AL29" s="51">
        <f t="shared" si="4"/>
        <v>5210.14</v>
      </c>
      <c r="AM29" s="78">
        <f t="shared" si="21"/>
        <v>159397.68</v>
      </c>
      <c r="AN29" s="78">
        <f t="shared" si="5"/>
        <v>78324.63000000003</v>
      </c>
      <c r="AO29" s="78">
        <f t="shared" si="5"/>
        <v>135874</v>
      </c>
      <c r="AP29" s="78">
        <f t="shared" si="3"/>
        <v>373596.31000000006</v>
      </c>
      <c r="AQ29" s="78">
        <f t="shared" si="6"/>
        <v>404363</v>
      </c>
      <c r="AR29" s="78"/>
    </row>
    <row r="30" spans="1:44" s="60" customFormat="1" ht="12.75">
      <c r="A30" s="89">
        <f>'[9]MONTH7'!$A24</f>
        <v>0</v>
      </c>
      <c r="B30" s="51">
        <f>'[9]MONTH7'!B24</f>
        <v>0</v>
      </c>
      <c r="C30" s="51">
        <f>'[9]MONTH7'!C24</f>
        <v>0</v>
      </c>
      <c r="D30" s="51">
        <f>'[9]MONTH7'!D24</f>
        <v>0</v>
      </c>
      <c r="E30" s="51">
        <f>'[9]MONTH7'!E24</f>
        <v>0</v>
      </c>
      <c r="F30" s="51">
        <f>'[9]MONTH7'!F24</f>
        <v>0</v>
      </c>
      <c r="G30" s="51">
        <f>'[9]MONTH7'!G24</f>
        <v>0</v>
      </c>
      <c r="H30" s="51">
        <f>'[9]MONTH7'!H24</f>
        <v>0</v>
      </c>
      <c r="I30" s="51">
        <f>'[9]MONTH7'!I24</f>
        <v>0</v>
      </c>
      <c r="J30" s="78">
        <f t="shared" si="7"/>
        <v>0</v>
      </c>
      <c r="K30" s="52">
        <f>'[9]MONTH7'!J24</f>
        <v>0</v>
      </c>
      <c r="L30" s="52">
        <f>'[9]MONTH7'!K24</f>
        <v>0</v>
      </c>
      <c r="M30" s="78">
        <f t="shared" si="8"/>
        <v>0</v>
      </c>
      <c r="N30" s="52">
        <f>'[9]MONTH7'!L24</f>
        <v>0</v>
      </c>
      <c r="O30" s="64" t="e">
        <f t="shared" si="9"/>
        <v>#DIV/0!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76"/>
      <c r="AD30" s="77"/>
      <c r="AE30" s="78">
        <f t="shared" si="4"/>
        <v>0</v>
      </c>
      <c r="AF30" s="51">
        <f t="shared" si="4"/>
        <v>0</v>
      </c>
      <c r="AG30" s="51">
        <f t="shared" si="4"/>
        <v>0</v>
      </c>
      <c r="AH30" s="51">
        <f t="shared" si="4"/>
        <v>0</v>
      </c>
      <c r="AI30" s="51">
        <f t="shared" si="4"/>
        <v>0</v>
      </c>
      <c r="AJ30" s="51">
        <f t="shared" si="4"/>
        <v>0</v>
      </c>
      <c r="AK30" s="51">
        <f t="shared" si="4"/>
        <v>0</v>
      </c>
      <c r="AL30" s="51">
        <f t="shared" si="4"/>
        <v>0</v>
      </c>
      <c r="AM30" s="78">
        <f t="shared" si="21"/>
        <v>0</v>
      </c>
      <c r="AN30" s="78">
        <f t="shared" si="5"/>
        <v>0</v>
      </c>
      <c r="AO30" s="78">
        <f t="shared" si="5"/>
        <v>0</v>
      </c>
      <c r="AP30" s="78">
        <f t="shared" si="3"/>
        <v>0</v>
      </c>
      <c r="AQ30" s="78">
        <f t="shared" si="6"/>
        <v>0</v>
      </c>
      <c r="AR30" s="78"/>
    </row>
    <row r="31" spans="1:44" s="60" customFormat="1" ht="12.75">
      <c r="A31" s="89">
        <f>'[9]MONTH7'!$A25</f>
        <v>0</v>
      </c>
      <c r="B31" s="51">
        <f>'[9]MONTH7'!B25</f>
        <v>0</v>
      </c>
      <c r="C31" s="51">
        <f>'[9]MONTH7'!C25</f>
        <v>0</v>
      </c>
      <c r="D31" s="51">
        <f>'[9]MONTH7'!D25</f>
        <v>0</v>
      </c>
      <c r="E31" s="51">
        <f>'[9]MONTH7'!E25</f>
        <v>0</v>
      </c>
      <c r="F31" s="51">
        <f>'[9]MONTH7'!F25</f>
        <v>0</v>
      </c>
      <c r="G31" s="51">
        <f>'[9]MONTH7'!G25</f>
        <v>0</v>
      </c>
      <c r="H31" s="51">
        <f>'[9]MONTH7'!H25</f>
        <v>0</v>
      </c>
      <c r="I31" s="51">
        <f>'[9]MONTH7'!I25</f>
        <v>0</v>
      </c>
      <c r="J31" s="78">
        <f t="shared" si="7"/>
        <v>0</v>
      </c>
      <c r="K31" s="52">
        <f>'[9]MONTH7'!J25</f>
        <v>0</v>
      </c>
      <c r="L31" s="52">
        <f>'[9]MONTH7'!K25</f>
        <v>0</v>
      </c>
      <c r="M31" s="78">
        <f t="shared" si="8"/>
        <v>0</v>
      </c>
      <c r="N31" s="52">
        <f>'[9]MONTH7'!L25</f>
        <v>0</v>
      </c>
      <c r="O31" s="64" t="e">
        <f t="shared" si="9"/>
        <v>#DIV/0!</v>
      </c>
      <c r="P31" s="78">
        <f aca="true" t="shared" si="22" ref="P31:P36">$X$3/$X$5*($P$1/$X$1)</f>
        <v>46277.733758148526</v>
      </c>
      <c r="Q31" s="78">
        <f aca="true" t="shared" si="23" ref="Q31:Q36">$X$3/$X$5*($Q$1/$X$1)</f>
        <v>6356.586831347501</v>
      </c>
      <c r="R31" s="78">
        <f aca="true" t="shared" si="24" ref="R31:R36">$X$3/$X$5*($R$1/$X$1)</f>
        <v>16260.518165674213</v>
      </c>
      <c r="S31" s="78">
        <f aca="true" t="shared" si="25" ref="S31:S36">$X$3/$X$5*($S$1/$X$1)</f>
        <v>43404.861931968946</v>
      </c>
      <c r="T31" s="78">
        <f aca="true" t="shared" si="26" ref="T31:T36">$X$3/$X$5*($T$1/$X$1)</f>
        <v>26199.445723797136</v>
      </c>
      <c r="U31" s="78">
        <f aca="true" t="shared" si="27" ref="U31:U36">$X$3/$X$5*($U$1/$X$1)</f>
        <v>2939.682798881427</v>
      </c>
      <c r="V31" s="78">
        <f aca="true" t="shared" si="28" ref="V31:V36">$X$3/$X$5*($V$1/$X$1)</f>
        <v>10377.971093020795</v>
      </c>
      <c r="W31" s="78">
        <f aca="true" t="shared" si="29" ref="W31:W36">$X$3/$X$5*($W$1/$X$1)</f>
        <v>4046.836060797809</v>
      </c>
      <c r="X31" s="78">
        <f aca="true" t="shared" si="30" ref="X31:X36">SUM(P31:W31)</f>
        <v>155863.63636363635</v>
      </c>
      <c r="Y31" s="78">
        <f aca="true" t="shared" si="31" ref="Y31:Y36">$Y$3/$X$5</f>
        <v>103431.81818181818</v>
      </c>
      <c r="Z31" s="78">
        <f aca="true" t="shared" si="32" ref="Z31:Z36">$Z$3/$X$5</f>
        <v>103431.81818181818</v>
      </c>
      <c r="AA31" s="78">
        <f aca="true" t="shared" si="33" ref="AA31:AA36">SUM(X31:Z31)</f>
        <v>362727.2727272727</v>
      </c>
      <c r="AB31" s="78">
        <f>$AB$3/$X$5</f>
        <v>373045.45454545453</v>
      </c>
      <c r="AC31" s="76">
        <f>AA31/AB31</f>
        <v>0.9723406847812842</v>
      </c>
      <c r="AD31" s="77"/>
      <c r="AE31" s="78">
        <f t="shared" si="4"/>
        <v>-46277.733758148526</v>
      </c>
      <c r="AF31" s="51">
        <f t="shared" si="4"/>
        <v>-6356.586831347501</v>
      </c>
      <c r="AG31" s="51">
        <f t="shared" si="4"/>
        <v>-16260.518165674213</v>
      </c>
      <c r="AH31" s="51">
        <f t="shared" si="4"/>
        <v>-43404.861931968946</v>
      </c>
      <c r="AI31" s="51">
        <f t="shared" si="4"/>
        <v>-26199.445723797136</v>
      </c>
      <c r="AJ31" s="51">
        <f t="shared" si="4"/>
        <v>-2939.682798881427</v>
      </c>
      <c r="AK31" s="51">
        <f t="shared" si="4"/>
        <v>-10377.971093020795</v>
      </c>
      <c r="AL31" s="51">
        <f t="shared" si="4"/>
        <v>-4046.836060797809</v>
      </c>
      <c r="AM31" s="78">
        <f t="shared" si="21"/>
        <v>-155863.63636363635</v>
      </c>
      <c r="AN31" s="78">
        <f t="shared" si="5"/>
        <v>-103431.81818181818</v>
      </c>
      <c r="AO31" s="78">
        <f t="shared" si="5"/>
        <v>-103431.81818181818</v>
      </c>
      <c r="AP31" s="78">
        <f t="shared" si="3"/>
        <v>-362727.2727272727</v>
      </c>
      <c r="AQ31" s="78">
        <f t="shared" si="6"/>
        <v>-373045.45454545453</v>
      </c>
      <c r="AR31" s="78"/>
    </row>
    <row r="32" spans="1:44" s="60" customFormat="1" ht="12.75">
      <c r="A32" s="89">
        <f>'[9]MONTH7'!$A26</f>
        <v>0</v>
      </c>
      <c r="B32" s="51">
        <f>'[9]MONTH7'!B26</f>
        <v>0</v>
      </c>
      <c r="C32" s="51">
        <f>'[9]MONTH7'!C26</f>
        <v>0</v>
      </c>
      <c r="D32" s="51">
        <f>'[9]MONTH7'!D26</f>
        <v>0</v>
      </c>
      <c r="E32" s="51">
        <f>'[9]MONTH7'!E26</f>
        <v>0</v>
      </c>
      <c r="F32" s="51">
        <f>'[9]MONTH7'!F26</f>
        <v>0</v>
      </c>
      <c r="G32" s="51">
        <f>'[9]MONTH7'!G26</f>
        <v>0</v>
      </c>
      <c r="H32" s="51">
        <f>'[9]MONTH7'!H26</f>
        <v>0</v>
      </c>
      <c r="I32" s="51">
        <f>'[9]MONTH7'!I26</f>
        <v>0</v>
      </c>
      <c r="J32" s="78">
        <f t="shared" si="7"/>
        <v>0</v>
      </c>
      <c r="K32" s="52">
        <f>'[9]MONTH7'!J26</f>
        <v>0</v>
      </c>
      <c r="L32" s="52">
        <f>'[9]MONTH7'!K26</f>
        <v>0</v>
      </c>
      <c r="M32" s="78">
        <f t="shared" si="8"/>
        <v>0</v>
      </c>
      <c r="N32" s="52">
        <f>'[9]MONTH7'!L26</f>
        <v>0</v>
      </c>
      <c r="O32" s="64" t="e">
        <f t="shared" si="9"/>
        <v>#DIV/0!</v>
      </c>
      <c r="P32" s="78">
        <f t="shared" si="22"/>
        <v>46277.733758148526</v>
      </c>
      <c r="Q32" s="78">
        <f t="shared" si="23"/>
        <v>6356.586831347501</v>
      </c>
      <c r="R32" s="78">
        <f t="shared" si="24"/>
        <v>16260.518165674213</v>
      </c>
      <c r="S32" s="78">
        <f t="shared" si="25"/>
        <v>43404.861931968946</v>
      </c>
      <c r="T32" s="78">
        <f t="shared" si="26"/>
        <v>26199.445723797136</v>
      </c>
      <c r="U32" s="78">
        <f t="shared" si="27"/>
        <v>2939.682798881427</v>
      </c>
      <c r="V32" s="78">
        <f t="shared" si="28"/>
        <v>10377.971093020795</v>
      </c>
      <c r="W32" s="78">
        <f t="shared" si="29"/>
        <v>4046.836060797809</v>
      </c>
      <c r="X32" s="78">
        <f t="shared" si="30"/>
        <v>155863.63636363635</v>
      </c>
      <c r="Y32" s="78">
        <f t="shared" si="31"/>
        <v>103431.81818181818</v>
      </c>
      <c r="Z32" s="78">
        <f t="shared" si="32"/>
        <v>103431.81818181818</v>
      </c>
      <c r="AA32" s="78">
        <f t="shared" si="33"/>
        <v>362727.2727272727</v>
      </c>
      <c r="AB32" s="78">
        <f>$AB$3/$X$5</f>
        <v>373045.45454545453</v>
      </c>
      <c r="AC32" s="76">
        <f>AA32/AB32</f>
        <v>0.9723406847812842</v>
      </c>
      <c r="AD32" s="77"/>
      <c r="AE32" s="78">
        <f t="shared" si="4"/>
        <v>-46277.733758148526</v>
      </c>
      <c r="AF32" s="51">
        <f t="shared" si="4"/>
        <v>-6356.586831347501</v>
      </c>
      <c r="AG32" s="51">
        <f t="shared" si="4"/>
        <v>-16260.518165674213</v>
      </c>
      <c r="AH32" s="51">
        <f t="shared" si="4"/>
        <v>-43404.861931968946</v>
      </c>
      <c r="AI32" s="51">
        <f t="shared" si="4"/>
        <v>-26199.445723797136</v>
      </c>
      <c r="AJ32" s="51">
        <f t="shared" si="4"/>
        <v>-2939.682798881427</v>
      </c>
      <c r="AK32" s="51">
        <f t="shared" si="4"/>
        <v>-10377.971093020795</v>
      </c>
      <c r="AL32" s="51">
        <f t="shared" si="4"/>
        <v>-4046.836060797809</v>
      </c>
      <c r="AM32" s="78">
        <f t="shared" si="21"/>
        <v>-155863.63636363635</v>
      </c>
      <c r="AN32" s="78">
        <f t="shared" si="5"/>
        <v>-103431.81818181818</v>
      </c>
      <c r="AO32" s="78">
        <f t="shared" si="5"/>
        <v>-103431.81818181818</v>
      </c>
      <c r="AP32" s="78">
        <f t="shared" si="3"/>
        <v>-362727.2727272727</v>
      </c>
      <c r="AQ32" s="78">
        <f t="shared" si="6"/>
        <v>-373045.45454545453</v>
      </c>
      <c r="AR32" s="78">
        <f>AP32/AQ32</f>
        <v>0.9723406847812842</v>
      </c>
    </row>
    <row r="33" spans="1:85" s="95" customFormat="1" ht="12.75">
      <c r="A33" s="89">
        <f>'[9]MONTH7'!$A27</f>
        <v>0</v>
      </c>
      <c r="B33" s="51">
        <f>'[9]MONTH7'!B27</f>
        <v>0</v>
      </c>
      <c r="C33" s="51">
        <f>'[9]MONTH7'!C27</f>
        <v>0</v>
      </c>
      <c r="D33" s="51">
        <f>'[9]MONTH7'!D27</f>
        <v>0</v>
      </c>
      <c r="E33" s="51">
        <f>'[9]MONTH7'!E27</f>
        <v>0</v>
      </c>
      <c r="F33" s="51">
        <f>'[9]MONTH7'!F27</f>
        <v>0</v>
      </c>
      <c r="G33" s="51">
        <f>'[9]MONTH7'!G27</f>
        <v>0</v>
      </c>
      <c r="H33" s="51">
        <f>'[9]MONTH7'!H27</f>
        <v>0</v>
      </c>
      <c r="I33" s="51">
        <f>'[9]MONTH7'!I27</f>
        <v>0</v>
      </c>
      <c r="J33" s="91">
        <f t="shared" si="7"/>
        <v>0</v>
      </c>
      <c r="K33" s="52">
        <f>'[9]MONTH7'!J27</f>
        <v>0</v>
      </c>
      <c r="L33" s="52">
        <f>'[9]MONTH7'!K27</f>
        <v>0</v>
      </c>
      <c r="M33" s="91">
        <f t="shared" si="8"/>
        <v>0</v>
      </c>
      <c r="N33" s="52">
        <f>'[9]MONTH7'!L27</f>
        <v>0</v>
      </c>
      <c r="O33" s="92" t="e">
        <f t="shared" si="9"/>
        <v>#DIV/0!</v>
      </c>
      <c r="P33" s="91">
        <f t="shared" si="22"/>
        <v>46277.733758148526</v>
      </c>
      <c r="Q33" s="91">
        <f t="shared" si="23"/>
        <v>6356.586831347501</v>
      </c>
      <c r="R33" s="91">
        <f t="shared" si="24"/>
        <v>16260.518165674213</v>
      </c>
      <c r="S33" s="91">
        <f t="shared" si="25"/>
        <v>43404.861931968946</v>
      </c>
      <c r="T33" s="91">
        <f t="shared" si="26"/>
        <v>26199.445723797136</v>
      </c>
      <c r="U33" s="91">
        <f t="shared" si="27"/>
        <v>2939.682798881427</v>
      </c>
      <c r="V33" s="91">
        <f t="shared" si="28"/>
        <v>10377.971093020795</v>
      </c>
      <c r="W33" s="91">
        <f t="shared" si="29"/>
        <v>4046.836060797809</v>
      </c>
      <c r="X33" s="91">
        <f t="shared" si="30"/>
        <v>155863.63636363635</v>
      </c>
      <c r="Y33" s="91">
        <f t="shared" si="31"/>
        <v>103431.81818181818</v>
      </c>
      <c r="Z33" s="91">
        <f t="shared" si="32"/>
        <v>103431.81818181818</v>
      </c>
      <c r="AA33" s="91">
        <f t="shared" si="33"/>
        <v>362727.2727272727</v>
      </c>
      <c r="AB33" s="91">
        <f>$AB$3/$X$5</f>
        <v>373045.45454545453</v>
      </c>
      <c r="AC33" s="93">
        <f>AA33/AB33</f>
        <v>0.9723406847812842</v>
      </c>
      <c r="AD33" s="94"/>
      <c r="AE33" s="91">
        <f t="shared" si="4"/>
        <v>-46277.733758148526</v>
      </c>
      <c r="AF33" s="90">
        <f t="shared" si="4"/>
        <v>-6356.586831347501</v>
      </c>
      <c r="AG33" s="90">
        <f t="shared" si="4"/>
        <v>-16260.518165674213</v>
      </c>
      <c r="AH33" s="90">
        <f t="shared" si="4"/>
        <v>-43404.861931968946</v>
      </c>
      <c r="AI33" s="90">
        <f t="shared" si="4"/>
        <v>-26199.445723797136</v>
      </c>
      <c r="AJ33" s="90">
        <f t="shared" si="4"/>
        <v>-2939.682798881427</v>
      </c>
      <c r="AK33" s="90">
        <f t="shared" si="4"/>
        <v>-10377.971093020795</v>
      </c>
      <c r="AL33" s="90">
        <f t="shared" si="4"/>
        <v>-4046.836060797809</v>
      </c>
      <c r="AM33" s="91">
        <f t="shared" si="21"/>
        <v>-155863.63636363635</v>
      </c>
      <c r="AN33" s="91">
        <f t="shared" si="5"/>
        <v>-103431.81818181818</v>
      </c>
      <c r="AO33" s="91">
        <f t="shared" si="5"/>
        <v>-103431.81818181818</v>
      </c>
      <c r="AP33" s="91">
        <f t="shared" si="3"/>
        <v>-362727.2727272727</v>
      </c>
      <c r="AQ33" s="91">
        <f t="shared" si="6"/>
        <v>-373045.45454545453</v>
      </c>
      <c r="AR33" s="91">
        <f>AP33/AQ33</f>
        <v>0.9723406847812842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s="95" customFormat="1" ht="12.75">
      <c r="A34" s="89">
        <f>'[9]MONTH7'!$A28</f>
        <v>0</v>
      </c>
      <c r="B34" s="51">
        <f>'[9]MONTH7'!B28</f>
        <v>0</v>
      </c>
      <c r="C34" s="51">
        <f>'[9]MONTH7'!C28</f>
        <v>0</v>
      </c>
      <c r="D34" s="51">
        <f>'[9]MONTH7'!D28</f>
        <v>0</v>
      </c>
      <c r="E34" s="51">
        <f>'[9]MONTH7'!E28</f>
        <v>0</v>
      </c>
      <c r="F34" s="51">
        <f>'[9]MONTH7'!F28</f>
        <v>0</v>
      </c>
      <c r="G34" s="51">
        <f>'[9]MONTH7'!G28</f>
        <v>0</v>
      </c>
      <c r="H34" s="51">
        <f>'[9]MONTH7'!H28</f>
        <v>0</v>
      </c>
      <c r="I34" s="51">
        <f>'[9]MONTH7'!I28</f>
        <v>0</v>
      </c>
      <c r="J34" s="91">
        <f t="shared" si="7"/>
        <v>0</v>
      </c>
      <c r="K34" s="52">
        <f>'[9]MONTH7'!J28</f>
        <v>0</v>
      </c>
      <c r="L34" s="52">
        <f>'[9]MONTH7'!K28</f>
        <v>0</v>
      </c>
      <c r="M34" s="91">
        <f t="shared" si="8"/>
        <v>0</v>
      </c>
      <c r="N34" s="52">
        <f>'[9]MONTH7'!L28</f>
        <v>0</v>
      </c>
      <c r="O34" s="92" t="e">
        <f t="shared" si="9"/>
        <v>#DIV/0!</v>
      </c>
      <c r="P34" s="91">
        <f t="shared" si="22"/>
        <v>46277.733758148526</v>
      </c>
      <c r="Q34" s="91">
        <f t="shared" si="23"/>
        <v>6356.586831347501</v>
      </c>
      <c r="R34" s="91">
        <f t="shared" si="24"/>
        <v>16260.518165674213</v>
      </c>
      <c r="S34" s="91">
        <f t="shared" si="25"/>
        <v>43404.861931968946</v>
      </c>
      <c r="T34" s="91">
        <f t="shared" si="26"/>
        <v>26199.445723797136</v>
      </c>
      <c r="U34" s="91">
        <f t="shared" si="27"/>
        <v>2939.682798881427</v>
      </c>
      <c r="V34" s="91">
        <f t="shared" si="28"/>
        <v>10377.971093020795</v>
      </c>
      <c r="W34" s="91">
        <f t="shared" si="29"/>
        <v>4046.836060797809</v>
      </c>
      <c r="X34" s="91">
        <f t="shared" si="30"/>
        <v>155863.63636363635</v>
      </c>
      <c r="Y34" s="91">
        <f t="shared" si="31"/>
        <v>103431.81818181818</v>
      </c>
      <c r="Z34" s="91">
        <f t="shared" si="32"/>
        <v>103431.81818181818</v>
      </c>
      <c r="AA34" s="91">
        <f t="shared" si="33"/>
        <v>362727.2727272727</v>
      </c>
      <c r="AB34" s="91">
        <f>$AB$3/$X$5</f>
        <v>373045.45454545453</v>
      </c>
      <c r="AC34" s="93">
        <f>AA34/AB34</f>
        <v>0.9723406847812842</v>
      </c>
      <c r="AD34" s="94"/>
      <c r="AE34" s="91">
        <f t="shared" si="4"/>
        <v>-46277.733758148526</v>
      </c>
      <c r="AF34" s="90">
        <f t="shared" si="4"/>
        <v>-6356.586831347501</v>
      </c>
      <c r="AG34" s="90">
        <f t="shared" si="4"/>
        <v>-16260.518165674213</v>
      </c>
      <c r="AH34" s="90">
        <f t="shared" si="4"/>
        <v>-43404.861931968946</v>
      </c>
      <c r="AI34" s="90">
        <f t="shared" si="4"/>
        <v>-26199.445723797136</v>
      </c>
      <c r="AJ34" s="90">
        <f t="shared" si="4"/>
        <v>-2939.682798881427</v>
      </c>
      <c r="AK34" s="90">
        <f t="shared" si="4"/>
        <v>-10377.971093020795</v>
      </c>
      <c r="AL34" s="90">
        <f t="shared" si="4"/>
        <v>-4046.836060797809</v>
      </c>
      <c r="AM34" s="91">
        <f t="shared" si="21"/>
        <v>-155863.63636363635</v>
      </c>
      <c r="AN34" s="91">
        <f t="shared" si="5"/>
        <v>-103431.81818181818</v>
      </c>
      <c r="AO34" s="91">
        <f t="shared" si="5"/>
        <v>-103431.81818181818</v>
      </c>
      <c r="AP34" s="91">
        <f t="shared" si="3"/>
        <v>-362727.2727272727</v>
      </c>
      <c r="AQ34" s="91">
        <f t="shared" si="6"/>
        <v>-373045.45454545453</v>
      </c>
      <c r="AR34" s="91">
        <f>AP34/AQ34</f>
        <v>0.9723406847812842</v>
      </c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44" s="60" customFormat="1" ht="12.75">
      <c r="A35" s="89">
        <f>'[9]MONTH7'!$A29</f>
        <v>0</v>
      </c>
      <c r="B35" s="51">
        <f>'[9]MONTH7'!B29</f>
        <v>0</v>
      </c>
      <c r="C35" s="51">
        <f>'[9]MONTH7'!C29</f>
        <v>0</v>
      </c>
      <c r="D35" s="51">
        <f>'[9]MONTH7'!D29</f>
        <v>0</v>
      </c>
      <c r="E35" s="51">
        <f>'[9]MONTH7'!E29</f>
        <v>0</v>
      </c>
      <c r="F35" s="51">
        <f>'[9]MONTH7'!F29</f>
        <v>0</v>
      </c>
      <c r="G35" s="51">
        <f>'[9]MONTH7'!G29</f>
        <v>0</v>
      </c>
      <c r="H35" s="51">
        <f>'[9]MONTH7'!H29</f>
        <v>0</v>
      </c>
      <c r="I35" s="51">
        <f>'[9]MONTH7'!I29</f>
        <v>0</v>
      </c>
      <c r="J35" s="78">
        <f t="shared" si="7"/>
        <v>0</v>
      </c>
      <c r="K35" s="52">
        <f>'[9]MONTH7'!J29</f>
        <v>0</v>
      </c>
      <c r="L35" s="52">
        <f>'[9]MONTH7'!K29</f>
        <v>0</v>
      </c>
      <c r="M35" s="78">
        <f t="shared" si="8"/>
        <v>0</v>
      </c>
      <c r="N35" s="52">
        <f>'[9]MONTH7'!L29</f>
        <v>0</v>
      </c>
      <c r="O35" s="64" t="e">
        <f t="shared" si="9"/>
        <v>#DIV/0!</v>
      </c>
      <c r="P35" s="78">
        <f t="shared" si="22"/>
        <v>46277.733758148526</v>
      </c>
      <c r="Q35" s="78">
        <f t="shared" si="23"/>
        <v>6356.586831347501</v>
      </c>
      <c r="R35" s="78">
        <f t="shared" si="24"/>
        <v>16260.518165674213</v>
      </c>
      <c r="S35" s="78">
        <f t="shared" si="25"/>
        <v>43404.861931968946</v>
      </c>
      <c r="T35" s="78">
        <f t="shared" si="26"/>
        <v>26199.445723797136</v>
      </c>
      <c r="U35" s="78">
        <f t="shared" si="27"/>
        <v>2939.682798881427</v>
      </c>
      <c r="V35" s="78">
        <f t="shared" si="28"/>
        <v>10377.971093020795</v>
      </c>
      <c r="W35" s="78">
        <f t="shared" si="29"/>
        <v>4046.836060797809</v>
      </c>
      <c r="X35" s="78">
        <f t="shared" si="30"/>
        <v>155863.63636363635</v>
      </c>
      <c r="Y35" s="78">
        <f t="shared" si="31"/>
        <v>103431.81818181818</v>
      </c>
      <c r="Z35" s="78">
        <f t="shared" si="32"/>
        <v>103431.81818181818</v>
      </c>
      <c r="AA35" s="78">
        <f t="shared" si="33"/>
        <v>362727.2727272727</v>
      </c>
      <c r="AB35" s="78">
        <f>$AB$3/$X$5</f>
        <v>373045.45454545453</v>
      </c>
      <c r="AC35" s="76">
        <f>AA35/AB35</f>
        <v>0.9723406847812842</v>
      </c>
      <c r="AD35" s="77"/>
      <c r="AE35" s="78">
        <f t="shared" si="4"/>
        <v>-46277.733758148526</v>
      </c>
      <c r="AF35" s="51">
        <f t="shared" si="4"/>
        <v>-6356.586831347501</v>
      </c>
      <c r="AG35" s="51">
        <f t="shared" si="4"/>
        <v>-16260.518165674213</v>
      </c>
      <c r="AH35" s="51">
        <f t="shared" si="4"/>
        <v>-43404.861931968946</v>
      </c>
      <c r="AI35" s="51">
        <f t="shared" si="4"/>
        <v>-26199.445723797136</v>
      </c>
      <c r="AJ35" s="51">
        <f t="shared" si="4"/>
        <v>-2939.682798881427</v>
      </c>
      <c r="AK35" s="51">
        <f t="shared" si="4"/>
        <v>-10377.971093020795</v>
      </c>
      <c r="AL35" s="51">
        <f t="shared" si="4"/>
        <v>-4046.836060797809</v>
      </c>
      <c r="AM35" s="78">
        <f t="shared" si="21"/>
        <v>-155863.63636363635</v>
      </c>
      <c r="AN35" s="78">
        <f t="shared" si="5"/>
        <v>-103431.81818181818</v>
      </c>
      <c r="AO35" s="78">
        <f t="shared" si="5"/>
        <v>-103431.81818181818</v>
      </c>
      <c r="AP35" s="78">
        <f t="shared" si="3"/>
        <v>-362727.2727272727</v>
      </c>
      <c r="AQ35" s="78">
        <f t="shared" si="6"/>
        <v>-373045.45454545453</v>
      </c>
      <c r="AR35" s="78">
        <f>AP35/AQ35</f>
        <v>0.9723406847812842</v>
      </c>
    </row>
    <row r="36" spans="1:44" s="60" customFormat="1" ht="12.75">
      <c r="A36" s="89">
        <f>'[9]MONTH7'!$A30</f>
        <v>0</v>
      </c>
      <c r="B36" s="51">
        <f>'[9]MONTH7'!B30</f>
        <v>0</v>
      </c>
      <c r="C36" s="51">
        <f>'[9]MONTH7'!C30</f>
        <v>0</v>
      </c>
      <c r="D36" s="51">
        <f>'[9]MONTH7'!D30</f>
        <v>0</v>
      </c>
      <c r="E36" s="51">
        <f>'[9]MONTH7'!E30</f>
        <v>0</v>
      </c>
      <c r="F36" s="51">
        <f>'[9]MONTH7'!F30</f>
        <v>0</v>
      </c>
      <c r="G36" s="51">
        <f>'[9]MONTH7'!G30</f>
        <v>0</v>
      </c>
      <c r="H36" s="51">
        <f>'[9]MONTH7'!H30</f>
        <v>0</v>
      </c>
      <c r="I36" s="51">
        <f>'[9]MONTH7'!I30</f>
        <v>0</v>
      </c>
      <c r="J36" s="78">
        <f t="shared" si="7"/>
        <v>0</v>
      </c>
      <c r="K36" s="52">
        <f>'[9]MONTH7'!J30</f>
        <v>0</v>
      </c>
      <c r="L36" s="52">
        <f>'[9]MONTH7'!K30</f>
        <v>0</v>
      </c>
      <c r="M36" s="78">
        <f t="shared" si="8"/>
        <v>0</v>
      </c>
      <c r="N36" s="52">
        <f>'[9]MONTH7'!L30</f>
        <v>0</v>
      </c>
      <c r="O36" s="64" t="e">
        <f t="shared" si="9"/>
        <v>#DIV/0!</v>
      </c>
      <c r="P36" s="78">
        <f t="shared" si="22"/>
        <v>46277.733758148526</v>
      </c>
      <c r="Q36" s="78">
        <f t="shared" si="23"/>
        <v>6356.586831347501</v>
      </c>
      <c r="R36" s="78">
        <f t="shared" si="24"/>
        <v>16260.518165674213</v>
      </c>
      <c r="S36" s="78">
        <f t="shared" si="25"/>
        <v>43404.861931968946</v>
      </c>
      <c r="T36" s="78">
        <f t="shared" si="26"/>
        <v>26199.445723797136</v>
      </c>
      <c r="U36" s="78">
        <f t="shared" si="27"/>
        <v>2939.682798881427</v>
      </c>
      <c r="V36" s="78">
        <f t="shared" si="28"/>
        <v>10377.971093020795</v>
      </c>
      <c r="W36" s="78">
        <f t="shared" si="29"/>
        <v>4046.836060797809</v>
      </c>
      <c r="X36" s="78">
        <f t="shared" si="30"/>
        <v>155863.63636363635</v>
      </c>
      <c r="Y36" s="78">
        <f t="shared" si="31"/>
        <v>103431.81818181818</v>
      </c>
      <c r="Z36" s="78">
        <f t="shared" si="32"/>
        <v>103431.81818181818</v>
      </c>
      <c r="AA36" s="78">
        <f t="shared" si="33"/>
        <v>362727.2727272727</v>
      </c>
      <c r="AB36" s="78"/>
      <c r="AC36" s="76"/>
      <c r="AD36" s="77"/>
      <c r="AE36" s="78">
        <f t="shared" si="4"/>
        <v>-46277.733758148526</v>
      </c>
      <c r="AF36" s="51">
        <f t="shared" si="4"/>
        <v>-6356.586831347501</v>
      </c>
      <c r="AG36" s="51">
        <f t="shared" si="4"/>
        <v>-16260.518165674213</v>
      </c>
      <c r="AH36" s="51">
        <f t="shared" si="4"/>
        <v>-43404.861931968946</v>
      </c>
      <c r="AI36" s="51">
        <f t="shared" si="4"/>
        <v>-26199.445723797136</v>
      </c>
      <c r="AJ36" s="51">
        <f t="shared" si="4"/>
        <v>-2939.682798881427</v>
      </c>
      <c r="AK36" s="51">
        <f t="shared" si="4"/>
        <v>-10377.971093020795</v>
      </c>
      <c r="AL36" s="51">
        <f t="shared" si="4"/>
        <v>-4046.836060797809</v>
      </c>
      <c r="AM36" s="78">
        <f t="shared" si="21"/>
        <v>-155863.63636363635</v>
      </c>
      <c r="AN36" s="78">
        <f t="shared" si="5"/>
        <v>-103431.81818181818</v>
      </c>
      <c r="AO36" s="78">
        <f t="shared" si="5"/>
        <v>-103431.81818181818</v>
      </c>
      <c r="AP36" s="78">
        <f t="shared" si="3"/>
        <v>-362727.2727272727</v>
      </c>
      <c r="AQ36" s="78">
        <f t="shared" si="6"/>
        <v>0</v>
      </c>
      <c r="AR36" s="78" t="e">
        <f>AP36/AQ36</f>
        <v>#DIV/0!</v>
      </c>
    </row>
    <row r="37" spans="1:44" s="60" customFormat="1" ht="12.75">
      <c r="A37" s="89">
        <f>'[9]MONTH7'!$A31</f>
        <v>0</v>
      </c>
      <c r="B37" s="51">
        <f>'[9]MONTH7'!B31</f>
        <v>0</v>
      </c>
      <c r="C37" s="51">
        <f>'[9]MONTH7'!C31</f>
        <v>0</v>
      </c>
      <c r="D37" s="51">
        <f>'[9]MONTH7'!D31</f>
        <v>0</v>
      </c>
      <c r="E37" s="51">
        <f>'[9]MONTH7'!E31</f>
        <v>0</v>
      </c>
      <c r="F37" s="51">
        <f>'[9]MONTH7'!F31</f>
        <v>0</v>
      </c>
      <c r="G37" s="51">
        <f>'[9]MONTH7'!G31</f>
        <v>0</v>
      </c>
      <c r="H37" s="51">
        <f>'[9]MONTH7'!H31</f>
        <v>0</v>
      </c>
      <c r="I37" s="51">
        <f>'[9]MONTH7'!I31</f>
        <v>0</v>
      </c>
      <c r="J37" s="78">
        <f t="shared" si="7"/>
        <v>0</v>
      </c>
      <c r="K37" s="52">
        <f>'[9]MONTH7'!J31</f>
        <v>0</v>
      </c>
      <c r="L37" s="52">
        <f>'[9]MONTH7'!K31</f>
        <v>0</v>
      </c>
      <c r="M37" s="78">
        <f t="shared" si="8"/>
        <v>0</v>
      </c>
      <c r="N37" s="52">
        <f>'[9]MONTH7'!L31</f>
        <v>0</v>
      </c>
      <c r="O37" s="64" t="e">
        <f t="shared" si="9"/>
        <v>#DIV/0!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76"/>
      <c r="AD37" s="77"/>
      <c r="AE37" s="78">
        <f t="shared" si="4"/>
        <v>0</v>
      </c>
      <c r="AF37" s="51">
        <f t="shared" si="4"/>
        <v>0</v>
      </c>
      <c r="AG37" s="51">
        <f t="shared" si="4"/>
        <v>0</v>
      </c>
      <c r="AH37" s="51">
        <f t="shared" si="4"/>
        <v>0</v>
      </c>
      <c r="AI37" s="51">
        <f t="shared" si="4"/>
        <v>0</v>
      </c>
      <c r="AJ37" s="51">
        <f t="shared" si="4"/>
        <v>0</v>
      </c>
      <c r="AK37" s="51">
        <f t="shared" si="4"/>
        <v>0</v>
      </c>
      <c r="AL37" s="51">
        <f t="shared" si="4"/>
        <v>0</v>
      </c>
      <c r="AM37" s="78">
        <f t="shared" si="21"/>
        <v>0</v>
      </c>
      <c r="AN37" s="78">
        <f t="shared" si="5"/>
        <v>0</v>
      </c>
      <c r="AO37" s="78">
        <f t="shared" si="5"/>
        <v>0</v>
      </c>
      <c r="AP37" s="78">
        <f t="shared" si="3"/>
        <v>0</v>
      </c>
      <c r="AQ37" s="78">
        <f t="shared" si="6"/>
        <v>0</v>
      </c>
      <c r="AR37" s="78"/>
    </row>
    <row r="38" spans="1:44" s="60" customFormat="1" ht="12.75">
      <c r="A38" s="89">
        <f>'[9]MONTH7'!$A32</f>
        <v>0</v>
      </c>
      <c r="B38" s="51">
        <f>'[9]MONTH7'!B32</f>
        <v>0</v>
      </c>
      <c r="C38" s="51">
        <f>'[9]MONTH7'!C32</f>
        <v>0</v>
      </c>
      <c r="D38" s="51">
        <f>'[9]MONTH7'!D32</f>
        <v>0</v>
      </c>
      <c r="E38" s="51">
        <f>'[9]MONTH7'!E32</f>
        <v>0</v>
      </c>
      <c r="F38" s="51">
        <f>'[9]MONTH7'!F32</f>
        <v>0</v>
      </c>
      <c r="G38" s="51">
        <f>'[9]MONTH7'!G32</f>
        <v>0</v>
      </c>
      <c r="H38" s="51">
        <f>'[9]MONTH7'!H32</f>
        <v>0</v>
      </c>
      <c r="I38" s="51">
        <f>'[9]MONTH7'!I32</f>
        <v>0</v>
      </c>
      <c r="J38" s="78">
        <f t="shared" si="7"/>
        <v>0</v>
      </c>
      <c r="K38" s="52">
        <f>'[9]MONTH7'!J32</f>
        <v>0</v>
      </c>
      <c r="L38" s="52">
        <f>'[9]MONTH7'!K32</f>
        <v>0</v>
      </c>
      <c r="M38" s="78">
        <f t="shared" si="8"/>
        <v>0</v>
      </c>
      <c r="N38" s="52">
        <f>'[9]MONTH7'!L32</f>
        <v>0</v>
      </c>
      <c r="O38" s="64" t="e">
        <f t="shared" si="9"/>
        <v>#DIV/0!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6"/>
      <c r="AD38" s="77"/>
      <c r="AE38" s="78">
        <f t="shared" si="4"/>
        <v>0</v>
      </c>
      <c r="AF38" s="51">
        <f t="shared" si="4"/>
        <v>0</v>
      </c>
      <c r="AG38" s="51">
        <f t="shared" si="4"/>
        <v>0</v>
      </c>
      <c r="AH38" s="51">
        <f t="shared" si="4"/>
        <v>0</v>
      </c>
      <c r="AI38" s="51">
        <f t="shared" si="4"/>
        <v>0</v>
      </c>
      <c r="AJ38" s="51">
        <f t="shared" si="4"/>
        <v>0</v>
      </c>
      <c r="AK38" s="51">
        <f t="shared" si="4"/>
        <v>0</v>
      </c>
      <c r="AL38" s="51">
        <f t="shared" si="4"/>
        <v>0</v>
      </c>
      <c r="AM38" s="78">
        <f t="shared" si="21"/>
        <v>0</v>
      </c>
      <c r="AN38" s="78">
        <f t="shared" si="5"/>
        <v>0</v>
      </c>
      <c r="AO38" s="78">
        <f t="shared" si="5"/>
        <v>0</v>
      </c>
      <c r="AP38" s="78">
        <f t="shared" si="3"/>
        <v>0</v>
      </c>
      <c r="AQ38" s="78">
        <f t="shared" si="6"/>
        <v>0</v>
      </c>
      <c r="AR38" s="78"/>
    </row>
    <row r="39" spans="1:44" s="60" customFormat="1" ht="12.75">
      <c r="A39" s="89">
        <f>'[9]MONTH7'!$A33</f>
        <v>0</v>
      </c>
      <c r="B39" s="51">
        <f>'[9]MONTH7'!B33</f>
        <v>0</v>
      </c>
      <c r="C39" s="51">
        <f>'[9]MONTH7'!C33</f>
        <v>0</v>
      </c>
      <c r="D39" s="51">
        <f>'[9]MONTH7'!D33</f>
        <v>0</v>
      </c>
      <c r="E39" s="51">
        <f>'[9]MONTH7'!E33</f>
        <v>0</v>
      </c>
      <c r="F39" s="51">
        <f>'[9]MONTH7'!F33</f>
        <v>0</v>
      </c>
      <c r="G39" s="51">
        <f>'[9]MONTH7'!G33</f>
        <v>0</v>
      </c>
      <c r="H39" s="51">
        <f>'[9]MONTH7'!H33</f>
        <v>0</v>
      </c>
      <c r="I39" s="51">
        <f>'[9]MONTH7'!I33</f>
        <v>0</v>
      </c>
      <c r="J39" s="78">
        <f t="shared" si="7"/>
        <v>0</v>
      </c>
      <c r="K39" s="52">
        <f>'[9]MONTH7'!J33</f>
        <v>0</v>
      </c>
      <c r="L39" s="52">
        <f>'[9]MONTH7'!K33</f>
        <v>0</v>
      </c>
      <c r="M39" s="78">
        <f t="shared" si="8"/>
        <v>0</v>
      </c>
      <c r="N39" s="52">
        <f>'[9]MONTH7'!L33</f>
        <v>0</v>
      </c>
      <c r="O39" s="64" t="e">
        <f t="shared" si="9"/>
        <v>#DIV/0!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>
        <f t="shared" si="4"/>
        <v>0</v>
      </c>
      <c r="AF39" s="78">
        <f t="shared" si="4"/>
        <v>0</v>
      </c>
      <c r="AG39" s="78">
        <f t="shared" si="4"/>
        <v>0</v>
      </c>
      <c r="AH39" s="78">
        <f t="shared" si="4"/>
        <v>0</v>
      </c>
      <c r="AI39" s="78">
        <f t="shared" si="4"/>
        <v>0</v>
      </c>
      <c r="AJ39" s="78">
        <f t="shared" si="4"/>
        <v>0</v>
      </c>
      <c r="AK39" s="78">
        <f t="shared" si="4"/>
        <v>0</v>
      </c>
      <c r="AL39" s="78">
        <f t="shared" si="4"/>
        <v>0</v>
      </c>
      <c r="AM39" s="78">
        <f>SUM(AE39:AL39)</f>
        <v>0</v>
      </c>
      <c r="AN39" s="78">
        <f>K37-Y37</f>
        <v>0</v>
      </c>
      <c r="AO39" s="78">
        <f>L39-Z39</f>
        <v>0</v>
      </c>
      <c r="AP39" s="78">
        <f>SUM(AM39:AO39)</f>
        <v>0</v>
      </c>
      <c r="AQ39" s="100">
        <f t="shared" si="6"/>
        <v>0</v>
      </c>
      <c r="AR39" s="78" t="e">
        <f>AP39/AQ39</f>
        <v>#DIV/0!</v>
      </c>
    </row>
    <row r="40" spans="1:130" s="79" customFormat="1" ht="12.75">
      <c r="A40" s="89">
        <f>'[9]MONTH7'!$A34</f>
        <v>0</v>
      </c>
      <c r="B40" s="51">
        <f>'[9]MONTH7'!B34</f>
        <v>0</v>
      </c>
      <c r="C40" s="51">
        <f>'[9]MONTH7'!C34</f>
        <v>0</v>
      </c>
      <c r="D40" s="51">
        <f>'[9]MONTH7'!D34</f>
        <v>0</v>
      </c>
      <c r="E40" s="51">
        <f>'[9]MONTH7'!E34</f>
        <v>0</v>
      </c>
      <c r="F40" s="51">
        <f>'[9]MONTH7'!F34</f>
        <v>0</v>
      </c>
      <c r="G40" s="51">
        <f>'[9]MONTH7'!G34</f>
        <v>0</v>
      </c>
      <c r="H40" s="51">
        <f>'[9]MONTH7'!H34</f>
        <v>0</v>
      </c>
      <c r="I40" s="51">
        <f>'[9]MONTH7'!I34</f>
        <v>0</v>
      </c>
      <c r="J40" s="80"/>
      <c r="K40" s="52">
        <f>'[9]MONTH7'!J34</f>
        <v>0</v>
      </c>
      <c r="L40" s="52">
        <f>'[9]MONTH7'!K34</f>
        <v>0</v>
      </c>
      <c r="M40" s="80"/>
      <c r="N40" s="52">
        <f>'[9]MONTH7'!L34</f>
        <v>0</v>
      </c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2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3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3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591733.08</v>
      </c>
      <c r="C43" s="181">
        <f aca="true" t="shared" si="34" ref="C43:I43">SUM(C8:C42)</f>
        <v>149680.72000000003</v>
      </c>
      <c r="D43" s="181">
        <f t="shared" si="34"/>
        <v>671386.3500000001</v>
      </c>
      <c r="E43" s="181">
        <f t="shared" si="34"/>
        <v>308286.87</v>
      </c>
      <c r="F43" s="181">
        <f t="shared" si="34"/>
        <v>364956.5999999999</v>
      </c>
      <c r="G43" s="181">
        <f t="shared" si="34"/>
        <v>17327.53</v>
      </c>
      <c r="H43" s="181">
        <f t="shared" si="34"/>
        <v>158078.68</v>
      </c>
      <c r="I43" s="181">
        <f t="shared" si="34"/>
        <v>59235.98</v>
      </c>
      <c r="J43" s="181">
        <f>SUM(J8:J42)</f>
        <v>2320685.81</v>
      </c>
      <c r="K43" s="181">
        <f>SUM(K8:K42)</f>
        <v>1254986.44</v>
      </c>
      <c r="L43" s="181">
        <f>SUM(L8:L42)</f>
        <v>1893503</v>
      </c>
      <c r="M43" s="181">
        <f>SUM(M8:M42)</f>
        <v>5469175.25</v>
      </c>
      <c r="N43" s="182">
        <f>SUM(N8:N42)</f>
        <v>4482454</v>
      </c>
      <c r="O43" s="64">
        <f>M43/N43</f>
        <v>1.2201296990443182</v>
      </c>
      <c r="P43" s="180">
        <f>SUM(P9:P42)</f>
        <v>925554.6751629702</v>
      </c>
      <c r="Q43" s="180">
        <f aca="true" t="shared" si="35" ref="Q43:W43">SUM(Q9:Q42)</f>
        <v>127131.73662695008</v>
      </c>
      <c r="R43" s="180">
        <f t="shared" si="35"/>
        <v>325210.36331348424</v>
      </c>
      <c r="S43" s="180">
        <f t="shared" si="35"/>
        <v>868097.2386393789</v>
      </c>
      <c r="T43" s="180">
        <f t="shared" si="35"/>
        <v>523988.9144759427</v>
      </c>
      <c r="U43" s="180">
        <f t="shared" si="35"/>
        <v>58793.65597762852</v>
      </c>
      <c r="V43" s="180">
        <f t="shared" si="35"/>
        <v>207559.421860416</v>
      </c>
      <c r="W43" s="180">
        <f t="shared" si="35"/>
        <v>80936.72121595619</v>
      </c>
      <c r="X43" s="180">
        <f>SUM(X8:X42)</f>
        <v>3117272.7272727257</v>
      </c>
      <c r="Y43" s="180">
        <f>SUM(Y9:Y42)</f>
        <v>2068636.3636363628</v>
      </c>
      <c r="Z43" s="180">
        <f>SUM(Z9:Z42)</f>
        <v>2068636.3636363628</v>
      </c>
      <c r="AA43" s="180">
        <f>SUM(AA9:AA42)</f>
        <v>7254545.454545451</v>
      </c>
      <c r="AB43" s="180">
        <f>SUM(AB9:AB42)</f>
        <v>7087863.636363633</v>
      </c>
      <c r="AC43" s="163">
        <f>AA43/AB43</f>
        <v>1.0235165102960888</v>
      </c>
      <c r="AD43" s="179"/>
      <c r="AE43" s="180">
        <f>SUM(AE8:AE42)</f>
        <v>-333821.5951629705</v>
      </c>
      <c r="AF43" s="180">
        <f aca="true" t="shared" si="36" ref="AF43:AQ43">SUM(AF8:AF42)</f>
        <v>22548.983373049996</v>
      </c>
      <c r="AG43" s="180">
        <f t="shared" si="36"/>
        <v>346175.98668651574</v>
      </c>
      <c r="AH43" s="180">
        <f t="shared" si="36"/>
        <v>-559810.3686393789</v>
      </c>
      <c r="AI43" s="180">
        <f t="shared" si="36"/>
        <v>-159032.31447594272</v>
      </c>
      <c r="AJ43" s="180">
        <f t="shared" si="36"/>
        <v>-41466.12597762854</v>
      </c>
      <c r="AK43" s="180">
        <f t="shared" si="36"/>
        <v>-49480.741860415896</v>
      </c>
      <c r="AL43" s="180">
        <f t="shared" si="36"/>
        <v>-21700.741215956175</v>
      </c>
      <c r="AM43" s="180">
        <f>SUM(AM8:AM42)</f>
        <v>-796586.917272727</v>
      </c>
      <c r="AN43" s="180">
        <f t="shared" si="36"/>
        <v>-813649.9236363636</v>
      </c>
      <c r="AO43" s="180">
        <f t="shared" si="36"/>
        <v>-175133.36363636353</v>
      </c>
      <c r="AP43" s="180">
        <f t="shared" si="36"/>
        <v>-1785370.2045454541</v>
      </c>
      <c r="AQ43" s="180">
        <f t="shared" si="36"/>
        <v>-2605409.6363636367</v>
      </c>
      <c r="AR43" s="180">
        <f>AP43/AQ43</f>
        <v>0.685255086043702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>SUM(P8:P37)</f>
        <v>925554.6751629702</v>
      </c>
      <c r="C44" s="174">
        <f aca="true" t="shared" si="37" ref="C44:J44">SUM(Q8:Q37)</f>
        <v>127131.73662695008</v>
      </c>
      <c r="D44" s="174">
        <f t="shared" si="37"/>
        <v>325210.36331348424</v>
      </c>
      <c r="E44" s="174">
        <f t="shared" si="37"/>
        <v>868097.2386393789</v>
      </c>
      <c r="F44" s="174">
        <f t="shared" si="37"/>
        <v>523988.9144759427</v>
      </c>
      <c r="G44" s="174">
        <f t="shared" si="37"/>
        <v>58793.65597762852</v>
      </c>
      <c r="H44" s="174">
        <f t="shared" si="37"/>
        <v>207559.421860416</v>
      </c>
      <c r="I44" s="174">
        <f t="shared" si="37"/>
        <v>80936.72121595619</v>
      </c>
      <c r="J44" s="174">
        <f t="shared" si="37"/>
        <v>3117272.7272727257</v>
      </c>
      <c r="K44" s="174">
        <f>SUM(Y8:Y37)</f>
        <v>2068636.3636363628</v>
      </c>
      <c r="L44" s="174">
        <f>SUM(Z8:Z37)</f>
        <v>2068636.3636363628</v>
      </c>
      <c r="M44" s="174">
        <f>SUM(AA8:AA37)</f>
        <v>7254545.454545451</v>
      </c>
      <c r="N44" s="176">
        <f>SUM(AB8:AB37)</f>
        <v>7087863.636363633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>P43-B43</f>
        <v>333821.59516297025</v>
      </c>
      <c r="AF44" s="175">
        <f aca="true" t="shared" si="38" ref="AF44:AQ44">Q43-C43</f>
        <v>-22548.983373049952</v>
      </c>
      <c r="AG44" s="175">
        <f t="shared" si="38"/>
        <v>-346175.98668651585</v>
      </c>
      <c r="AH44" s="175">
        <f t="shared" si="38"/>
        <v>559810.3686393789</v>
      </c>
      <c r="AI44" s="175">
        <f t="shared" si="38"/>
        <v>159032.3144759428</v>
      </c>
      <c r="AJ44" s="175">
        <f t="shared" si="38"/>
        <v>41466.12597762852</v>
      </c>
      <c r="AK44" s="175">
        <f t="shared" si="38"/>
        <v>49480.74186041602</v>
      </c>
      <c r="AL44" s="175">
        <f t="shared" si="38"/>
        <v>21700.741215956186</v>
      </c>
      <c r="AM44" s="175">
        <f t="shared" si="38"/>
        <v>796586.9172727256</v>
      </c>
      <c r="AN44" s="175">
        <f t="shared" si="38"/>
        <v>813649.9236363629</v>
      </c>
      <c r="AO44" s="175">
        <f t="shared" si="38"/>
        <v>175133.36363636283</v>
      </c>
      <c r="AP44" s="175">
        <f t="shared" si="38"/>
        <v>1785370.2045454513</v>
      </c>
      <c r="AQ44" s="175">
        <f t="shared" si="38"/>
        <v>2605409.636363633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-333821.59516297025</v>
      </c>
      <c r="C45" s="183">
        <f aca="true" t="shared" si="39" ref="C45:N45">C43-C44</f>
        <v>22548.983373049952</v>
      </c>
      <c r="D45" s="183">
        <f t="shared" si="39"/>
        <v>346175.98668651585</v>
      </c>
      <c r="E45" s="183">
        <f t="shared" si="39"/>
        <v>-559810.3686393789</v>
      </c>
      <c r="F45" s="183">
        <f t="shared" si="39"/>
        <v>-159032.3144759428</v>
      </c>
      <c r="G45" s="183">
        <f t="shared" si="39"/>
        <v>-41466.12597762852</v>
      </c>
      <c r="H45" s="183">
        <f t="shared" si="39"/>
        <v>-49480.74186041602</v>
      </c>
      <c r="I45" s="183">
        <f t="shared" si="39"/>
        <v>-21700.741215956186</v>
      </c>
      <c r="J45" s="183">
        <f t="shared" si="39"/>
        <v>-796586.9172727256</v>
      </c>
      <c r="K45" s="183">
        <f t="shared" si="39"/>
        <v>-813649.9236363629</v>
      </c>
      <c r="L45" s="183">
        <f t="shared" si="39"/>
        <v>-175133.36363636283</v>
      </c>
      <c r="M45" s="183">
        <f t="shared" si="39"/>
        <v>-1785370.2045454513</v>
      </c>
      <c r="N45" s="184">
        <f t="shared" si="39"/>
        <v>-2605409.636363633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0</v>
      </c>
      <c r="AF45" s="82">
        <f aca="true" t="shared" si="40" ref="AF45:AQ45">AF44+AF43</f>
        <v>4.3655745685100555E-11</v>
      </c>
      <c r="AG45" s="82">
        <f t="shared" si="40"/>
        <v>0</v>
      </c>
      <c r="AH45" s="82">
        <f t="shared" si="40"/>
        <v>0</v>
      </c>
      <c r="AI45" s="82">
        <f t="shared" si="40"/>
        <v>0</v>
      </c>
      <c r="AJ45" s="82">
        <f t="shared" si="40"/>
        <v>0</v>
      </c>
      <c r="AK45" s="82">
        <f t="shared" si="40"/>
        <v>1.2369127944111824E-10</v>
      </c>
      <c r="AL45" s="82">
        <f t="shared" si="40"/>
        <v>0</v>
      </c>
      <c r="AM45" s="82">
        <f t="shared" si="40"/>
        <v>-1.3969838619232178E-09</v>
      </c>
      <c r="AN45" s="82">
        <f t="shared" si="40"/>
        <v>0</v>
      </c>
      <c r="AO45" s="82">
        <f t="shared" si="40"/>
        <v>-6.984919309616089E-10</v>
      </c>
      <c r="AP45" s="82">
        <f t="shared" si="40"/>
        <v>-2.7939677238464355E-09</v>
      </c>
      <c r="AQ45" s="82">
        <f t="shared" si="40"/>
        <v>-3.725290298461914E-09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>
        <f>X43-X3</f>
        <v>-311727.27272727434</v>
      </c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K47" s="8"/>
      <c r="L47" s="8"/>
      <c r="N47" s="8"/>
      <c r="O47" s="8"/>
      <c r="Q47" s="8"/>
      <c r="R47" s="8"/>
      <c r="S47" s="8"/>
      <c r="T47" s="8"/>
      <c r="U47" s="8"/>
      <c r="V47" s="41"/>
      <c r="W47" s="41"/>
      <c r="Y47" s="8">
        <f>X3/20</f>
        <v>171450</v>
      </c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5469175.25</v>
      </c>
      <c r="C48" s="16"/>
      <c r="K48" s="8"/>
      <c r="L48" s="8"/>
      <c r="N48" s="8"/>
      <c r="O48" s="8"/>
      <c r="P48" s="16">
        <f>SUM(P43:W43)</f>
        <v>3117272.727272727</v>
      </c>
    </row>
    <row r="49" spans="1:15" ht="12.75">
      <c r="A49" s="43" t="s">
        <v>64</v>
      </c>
      <c r="B49" s="101">
        <f>N43</f>
        <v>4482454</v>
      </c>
      <c r="K49" s="8"/>
      <c r="L49" s="8"/>
      <c r="N49" s="8"/>
      <c r="O49" s="8"/>
    </row>
    <row r="50" spans="1:16" ht="12.75">
      <c r="A50" s="9" t="s">
        <v>63</v>
      </c>
      <c r="B50" s="102">
        <f>B48/B49</f>
        <v>1.2201296990443182</v>
      </c>
      <c r="K50" s="8"/>
      <c r="L50" s="8"/>
      <c r="N50" s="8"/>
      <c r="O50" s="8"/>
      <c r="P50" s="16">
        <f>P44-P48</f>
        <v>-3117272.727272727</v>
      </c>
    </row>
    <row r="51" spans="11:15" ht="12.75"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1:15" ht="12.75">
      <c r="K53" s="8"/>
      <c r="L53" s="8"/>
      <c r="N53" s="8"/>
      <c r="O53" s="8"/>
    </row>
    <row r="54" spans="11:15" ht="12.75">
      <c r="K54" s="8"/>
      <c r="L54" s="8"/>
      <c r="N54" s="8"/>
      <c r="O54" s="8"/>
    </row>
    <row r="55" spans="11:15" ht="12.75"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mergeCells count="1">
    <mergeCell ref="B3:D3"/>
  </mergeCells>
  <conditionalFormatting sqref="B41:D42 P41:AC42 AM41:AR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AE8:AL8 AF9:AL38 B8:I40">
    <cfRule type="cellIs" priority="10" dxfId="5" operator="equal" stopIfTrue="1">
      <formula>0</formula>
    </cfRule>
    <cfRule type="cellIs" priority="11" dxfId="0" operator="between" stopIfTrue="1">
      <formula>0</formula>
      <formula>#REF!</formula>
    </cfRule>
    <cfRule type="cellIs" priority="12" dxfId="2" operator="greaterThanOrEqual" stopIfTrue="1">
      <formula>#REF!</formula>
    </cfRule>
  </conditionalFormatting>
  <conditionalFormatting sqref="K8:L40 N44 AM8:AQ10 O43 AQ39 AR8 N8:O40">
    <cfRule type="cellIs" priority="13" dxfId="2" operator="greaterThanOrEqual" stopIfTrue="1">
      <formula>#REF!</formula>
    </cfRule>
    <cfRule type="cellIs" priority="14" dxfId="1" operator="between" stopIfTrue="1">
      <formula>#REF!</formula>
      <formula>#REF!</formula>
    </cfRule>
    <cfRule type="cellIs" priority="15" dxfId="0" operator="between" stopIfTrue="1">
      <formula>#REF!</formula>
      <formula>0.1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Z376"/>
  <sheetViews>
    <sheetView workbookViewId="0" topLeftCell="AE1">
      <selection activeCell="A28" sqref="A28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130" width="9.140625" style="2" customWidth="1"/>
  </cols>
  <sheetData>
    <row r="1" spans="1:39" ht="12.75">
      <c r="A1" s="192" t="s">
        <v>117</v>
      </c>
      <c r="K1" s="8"/>
      <c r="L1" s="8"/>
      <c r="N1" s="8"/>
      <c r="P1" s="242">
        <v>3414164.27</v>
      </c>
      <c r="Q1" s="242">
        <v>828885.6</v>
      </c>
      <c r="R1" s="242">
        <v>3725356.94</v>
      </c>
      <c r="S1" s="242">
        <v>2027936.06</v>
      </c>
      <c r="T1" s="242">
        <v>2115759.09</v>
      </c>
      <c r="U1" s="242">
        <v>102521.47</v>
      </c>
      <c r="V1" s="242">
        <v>940008.58</v>
      </c>
      <c r="W1" s="242">
        <v>384579.03</v>
      </c>
      <c r="X1" s="242">
        <v>13485980.830000002</v>
      </c>
      <c r="AM1" s="8">
        <f>SUM(AE1:AL1)</f>
        <v>0</v>
      </c>
    </row>
    <row r="2" spans="11:43" ht="12.75">
      <c r="K2" s="8"/>
      <c r="L2" s="8"/>
      <c r="N2" s="8"/>
      <c r="P2" s="67">
        <v>0.2531639569296348</v>
      </c>
      <c r="Q2" s="67">
        <v>0.061462759768730876</v>
      </c>
      <c r="R2" s="67">
        <v>0.27623922849666394</v>
      </c>
      <c r="S2" s="67">
        <v>0.15037364249315782</v>
      </c>
      <c r="T2" s="67">
        <v>0.1568858147338772</v>
      </c>
      <c r="U2" s="67">
        <v>0.007602077393728579</v>
      </c>
      <c r="V2" s="67">
        <v>0.06970264839090683</v>
      </c>
      <c r="W2" s="67">
        <v>0.028516949182108543</v>
      </c>
      <c r="X2" s="67">
        <v>1.0039470773888084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Q3"/>
      <c r="R3"/>
      <c r="S3"/>
      <c r="T3"/>
      <c r="V3"/>
      <c r="W3"/>
      <c r="X3" s="242">
        <v>3505000</v>
      </c>
      <c r="Y3" s="249">
        <f>(4104000*50%)+441000</f>
        <v>2493000</v>
      </c>
      <c r="Z3" s="249">
        <f>4104000/2</f>
        <v>2052000</v>
      </c>
      <c r="AA3" s="249">
        <f>SUM(X3:Z3)</f>
        <v>8050000</v>
      </c>
      <c r="AB3" s="249">
        <f>13200000-4379000</f>
        <v>8821000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44" ht="12.75">
      <c r="A4" s="58" t="s">
        <v>162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38"/>
      <c r="Y4" s="38"/>
      <c r="Z4" s="38"/>
      <c r="AA4" s="38"/>
      <c r="AB4" s="38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</row>
    <row r="5" spans="1:44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38">
        <v>22</v>
      </c>
      <c r="Y5" s="38"/>
      <c r="Z5" s="38"/>
      <c r="AA5" s="38"/>
      <c r="AB5" s="38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20</v>
      </c>
      <c r="AN5" s="41"/>
      <c r="AO5" s="41"/>
      <c r="AP5" s="41"/>
      <c r="AQ5" s="41"/>
      <c r="AR5" s="70"/>
    </row>
    <row r="6" spans="1:44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</row>
    <row r="7" spans="1:44" ht="25.5">
      <c r="A7" s="48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204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204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204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</row>
    <row r="8" spans="1:44" s="60" customFormat="1" ht="12.75">
      <c r="A8" s="89">
        <f>'[1]FINAL'!$A2</f>
        <v>39630</v>
      </c>
      <c r="B8" s="51">
        <f>'[1]FINAL'!B2</f>
        <v>40735.39</v>
      </c>
      <c r="C8" s="51">
        <f>'[1]FINAL'!C2</f>
        <v>7011.21</v>
      </c>
      <c r="D8" s="51">
        <f>'[1]FINAL'!D2</f>
        <v>36810.79</v>
      </c>
      <c r="E8" s="51">
        <f>'[1]FINAL'!E2</f>
        <v>23471.29</v>
      </c>
      <c r="F8" s="51">
        <f>'[1]FINAL'!F2</f>
        <v>23631.9</v>
      </c>
      <c r="G8" s="51">
        <f>'[1]FINAL'!G2</f>
        <v>1169.26</v>
      </c>
      <c r="H8" s="51">
        <f>'[1]FINAL'!H2</f>
        <v>8843.77</v>
      </c>
      <c r="I8" s="52">
        <f>'[2]FINAL'!I2</f>
        <v>2367.16</v>
      </c>
      <c r="J8" s="78">
        <f>SUM(B8:I8)</f>
        <v>144040.77</v>
      </c>
      <c r="K8" s="52">
        <f>'[1]FINAL'!J2</f>
        <v>78014.70999999998</v>
      </c>
      <c r="L8" s="52">
        <f>'[1]FINAL'!K2</f>
        <v>106631</v>
      </c>
      <c r="M8" s="78">
        <f>SUM(J8:L8)</f>
        <v>328686.48</v>
      </c>
      <c r="N8" s="52">
        <f>'[1]FINAL'!L2</f>
        <v>82449</v>
      </c>
      <c r="O8" s="64">
        <f>M8/N8</f>
        <v>3.9865429538260013</v>
      </c>
      <c r="P8" s="78">
        <f>(X3/X5)*P1/X1</f>
        <v>40333.62131992589</v>
      </c>
      <c r="Q8" s="78">
        <f aca="true" t="shared" si="0" ref="Q8:Q17">$X$3/$X$5*($Q$1/$X$1)</f>
        <v>9792.135135881897</v>
      </c>
      <c r="R8" s="78">
        <f aca="true" t="shared" si="1" ref="R8:R17">$X$3/$X$5*($R$1/$X$1)</f>
        <v>44009.93163094578</v>
      </c>
      <c r="S8" s="78">
        <f aca="true" t="shared" si="2" ref="S8:S17">$X$3/$X$5*($S$1/$X$1)</f>
        <v>23957.25531538719</v>
      </c>
      <c r="T8" s="78">
        <f aca="true" t="shared" si="3" ref="T8:T17">$X$3/$X$5*($T$1/$X$1)</f>
        <v>24994.762756465436</v>
      </c>
      <c r="U8" s="78">
        <f aca="true" t="shared" si="4" ref="U8:U17">$X$3/$X$5*($U$1/$X$1)</f>
        <v>1211.1491484099397</v>
      </c>
      <c r="V8" s="78">
        <f aca="true" t="shared" si="5" ref="V8:V17">$X$3/$X$5*($V$1/$X$1)</f>
        <v>11104.899209551293</v>
      </c>
      <c r="W8" s="78">
        <f>$X$3/$X$5*($W$1/$X$1)</f>
        <v>4543.26849469502</v>
      </c>
      <c r="X8" s="78"/>
      <c r="Y8" s="78"/>
      <c r="Z8" s="78"/>
      <c r="AA8" s="78"/>
      <c r="AB8" s="78"/>
      <c r="AC8" s="76"/>
      <c r="AD8" s="77"/>
      <c r="AE8" s="51">
        <f>B8-P8</f>
        <v>401.76868007410667</v>
      </c>
      <c r="AF8" s="51">
        <f>C8-Q8</f>
        <v>-2780.9251358818974</v>
      </c>
      <c r="AG8" s="51">
        <f aca="true" t="shared" si="6" ref="AG8:AL23">D8-R8</f>
        <v>-7199.141630945778</v>
      </c>
      <c r="AH8" s="51">
        <f t="shared" si="6"/>
        <v>-485.96531538718773</v>
      </c>
      <c r="AI8" s="51">
        <f t="shared" si="6"/>
        <v>-1362.8627564654344</v>
      </c>
      <c r="AJ8" s="51">
        <f t="shared" si="6"/>
        <v>-41.88914840993971</v>
      </c>
      <c r="AK8" s="51">
        <f t="shared" si="6"/>
        <v>-2261.1292095512927</v>
      </c>
      <c r="AL8" s="51">
        <f t="shared" si="6"/>
        <v>-2176.1084946950205</v>
      </c>
      <c r="AM8" s="96">
        <f aca="true" t="shared" si="7" ref="AM8:AM22">SUM(AE8:AL8)</f>
        <v>-15906.253011262444</v>
      </c>
      <c r="AN8" s="96">
        <f>K8-Y8</f>
        <v>78014.70999999998</v>
      </c>
      <c r="AO8" s="96">
        <f>L8-Z8</f>
        <v>106631</v>
      </c>
      <c r="AP8" s="96">
        <f aca="true" t="shared" si="8" ref="AP8:AP38">SUM(AM8:AO8)</f>
        <v>168739.45698873754</v>
      </c>
      <c r="AQ8" s="96">
        <f>N8-AB8</f>
        <v>82449</v>
      </c>
      <c r="AR8" s="96"/>
    </row>
    <row r="9" spans="1:44" s="60" customFormat="1" ht="12.75">
      <c r="A9" s="89">
        <f>'[1]FINAL'!$A3</f>
        <v>39631</v>
      </c>
      <c r="B9" s="51">
        <f>'[1]FINAL'!$B3</f>
        <v>40732.28</v>
      </c>
      <c r="C9" s="51">
        <f>'[1]FINAL'!C3</f>
        <v>11337.49</v>
      </c>
      <c r="D9" s="51">
        <f>'[1]FINAL'!D3</f>
        <v>44029.32</v>
      </c>
      <c r="E9" s="51">
        <f>'[1]FINAL'!E3</f>
        <v>20541.21</v>
      </c>
      <c r="F9" s="51">
        <f>'[1]FINAL'!F3</f>
        <v>23440.08</v>
      </c>
      <c r="G9" s="51">
        <f>'[1]FINAL'!G3</f>
        <v>1204.28</v>
      </c>
      <c r="H9" s="51">
        <f>'[1]FINAL'!H3</f>
        <v>9997.07</v>
      </c>
      <c r="I9" s="52">
        <f>'[2]FINAL'!I3</f>
        <v>2550.64</v>
      </c>
      <c r="J9" s="78">
        <f>SUM(B9:I9)</f>
        <v>153832.37000000002</v>
      </c>
      <c r="K9" s="52">
        <f>'[1]FINAL'!J3</f>
        <v>69542.65999999999</v>
      </c>
      <c r="L9" s="52">
        <f>'[1]FINAL'!K3</f>
        <v>152139</v>
      </c>
      <c r="M9" s="78">
        <f>SUM(J9:L9)</f>
        <v>375514.03</v>
      </c>
      <c r="N9" s="52">
        <f>'[1]FINAL'!L3</f>
        <v>77807</v>
      </c>
      <c r="O9" s="64">
        <f>M9/N9</f>
        <v>4.826224247175705</v>
      </c>
      <c r="P9" s="78">
        <f aca="true" t="shared" si="9" ref="P9:P30">$X$3/$X$5*($P$1/$X$1)</f>
        <v>40333.6213199259</v>
      </c>
      <c r="Q9" s="78">
        <f t="shared" si="0"/>
        <v>9792.135135881897</v>
      </c>
      <c r="R9" s="78">
        <f t="shared" si="1"/>
        <v>44009.93163094578</v>
      </c>
      <c r="S9" s="78">
        <f t="shared" si="2"/>
        <v>23957.25531538719</v>
      </c>
      <c r="T9" s="78">
        <f t="shared" si="3"/>
        <v>24994.762756465436</v>
      </c>
      <c r="U9" s="78">
        <f t="shared" si="4"/>
        <v>1211.1491484099397</v>
      </c>
      <c r="V9" s="78">
        <f t="shared" si="5"/>
        <v>11104.899209551293</v>
      </c>
      <c r="W9" s="78">
        <f>$X$3/$X$5*($W$1/$X$1)</f>
        <v>4543.26849469502</v>
      </c>
      <c r="X9" s="78"/>
      <c r="Y9" s="78"/>
      <c r="Z9" s="78"/>
      <c r="AA9" s="78"/>
      <c r="AB9" s="78"/>
      <c r="AC9" s="76"/>
      <c r="AD9" s="77"/>
      <c r="AE9" s="78">
        <f aca="true" t="shared" si="10" ref="AE9:AE39">B9-P9</f>
        <v>398.6586800740988</v>
      </c>
      <c r="AF9" s="51">
        <f aca="true" t="shared" si="11" ref="AF9:AL38">C9-Q9</f>
        <v>1545.3548641181023</v>
      </c>
      <c r="AG9" s="51">
        <f t="shared" si="6"/>
        <v>19.388369054220675</v>
      </c>
      <c r="AH9" s="51">
        <f t="shared" si="6"/>
        <v>-3416.0453153871895</v>
      </c>
      <c r="AI9" s="51">
        <f t="shared" si="6"/>
        <v>-1554.682756465434</v>
      </c>
      <c r="AJ9" s="51">
        <f t="shared" si="6"/>
        <v>-6.869148409939726</v>
      </c>
      <c r="AK9" s="51">
        <f t="shared" si="6"/>
        <v>-1107.8292095512934</v>
      </c>
      <c r="AL9" s="51">
        <f t="shared" si="6"/>
        <v>-1992.6284946950204</v>
      </c>
      <c r="AM9" s="96">
        <f t="shared" si="7"/>
        <v>-6114.653011262455</v>
      </c>
      <c r="AN9" s="96">
        <f aca="true" t="shared" si="12" ref="AN9:AO38">K9-Y9</f>
        <v>69542.65999999999</v>
      </c>
      <c r="AO9" s="96">
        <f t="shared" si="12"/>
        <v>152139</v>
      </c>
      <c r="AP9" s="96">
        <f t="shared" si="8"/>
        <v>215567.00698873753</v>
      </c>
      <c r="AQ9" s="96">
        <f aca="true" t="shared" si="13" ref="AQ9:AQ39">N9-AB9</f>
        <v>77807</v>
      </c>
      <c r="AR9" s="78"/>
    </row>
    <row r="10" spans="1:44" s="60" customFormat="1" ht="12.75">
      <c r="A10" s="89">
        <f>'[1]FINAL'!$A4</f>
        <v>39632</v>
      </c>
      <c r="B10" s="51">
        <f>'[1]FINAL'!$B4</f>
        <v>40877.41</v>
      </c>
      <c r="C10" s="51">
        <f>'[1]FINAL'!C4</f>
        <v>6167.19</v>
      </c>
      <c r="D10" s="51">
        <f>'[1]FINAL'!D4</f>
        <v>36461.29</v>
      </c>
      <c r="E10" s="51">
        <f>'[1]FINAL'!E4</f>
        <v>18048.3</v>
      </c>
      <c r="F10" s="51">
        <f>'[1]FINAL'!F4</f>
        <v>20038.07</v>
      </c>
      <c r="G10" s="51">
        <f>'[1]FINAL'!G4</f>
        <v>754.16</v>
      </c>
      <c r="H10" s="51">
        <f>'[1]FINAL'!H4</f>
        <v>7433.49</v>
      </c>
      <c r="I10" s="52">
        <f>'[2]FINAL'!I4</f>
        <v>2925.55</v>
      </c>
      <c r="J10" s="78">
        <f aca="true" t="shared" si="14" ref="J10:J39">SUM(B10:I10)</f>
        <v>132705.46000000002</v>
      </c>
      <c r="K10" s="52">
        <f>'[1]FINAL'!J4</f>
        <v>71924.85999999997</v>
      </c>
      <c r="L10" s="52">
        <f>'[1]FINAL'!K4</f>
        <v>110065</v>
      </c>
      <c r="M10" s="78">
        <f aca="true" t="shared" si="15" ref="M10:M39">SUM(J10:L10)</f>
        <v>314695.32</v>
      </c>
      <c r="N10" s="52">
        <f>'[1]FINAL'!L4</f>
        <v>240441</v>
      </c>
      <c r="O10" s="64">
        <f aca="true" t="shared" si="16" ref="O10:O39">M10/N10</f>
        <v>1.3088255330829601</v>
      </c>
      <c r="P10" s="78">
        <f t="shared" si="9"/>
        <v>40333.6213199259</v>
      </c>
      <c r="Q10" s="78">
        <f t="shared" si="0"/>
        <v>9792.135135881897</v>
      </c>
      <c r="R10" s="78">
        <f t="shared" si="1"/>
        <v>44009.93163094578</v>
      </c>
      <c r="S10" s="78">
        <f t="shared" si="2"/>
        <v>23957.25531538719</v>
      </c>
      <c r="T10" s="78">
        <f t="shared" si="3"/>
        <v>24994.762756465436</v>
      </c>
      <c r="U10" s="78">
        <f t="shared" si="4"/>
        <v>1211.1491484099397</v>
      </c>
      <c r="V10" s="78">
        <f t="shared" si="5"/>
        <v>11104.899209551293</v>
      </c>
      <c r="W10" s="78">
        <f>$X$3/$X$5*($W$1/$X$1)</f>
        <v>4543.26849469502</v>
      </c>
      <c r="X10" s="78">
        <f>SUM(P10:W10)</f>
        <v>159947.02301126244</v>
      </c>
      <c r="Y10" s="78">
        <f>$Y$3/$X$5</f>
        <v>113318.18181818182</v>
      </c>
      <c r="Z10" s="78">
        <f aca="true" t="shared" si="17" ref="Z10:Z17">$Z$3/$X$5</f>
        <v>93272.72727272728</v>
      </c>
      <c r="AA10" s="78">
        <f>SUM(X10:Z10)</f>
        <v>366537.9321021716</v>
      </c>
      <c r="AB10" s="78">
        <f>$AB$3/$X$5</f>
        <v>400954.54545454547</v>
      </c>
      <c r="AC10" s="76">
        <f aca="true" t="shared" si="18" ref="AC10:AC17">AA10/AB10</f>
        <v>0.9141633041886152</v>
      </c>
      <c r="AD10" s="77"/>
      <c r="AE10" s="78">
        <f t="shared" si="10"/>
        <v>543.7886800741035</v>
      </c>
      <c r="AF10" s="51">
        <f t="shared" si="11"/>
        <v>-3624.945135881898</v>
      </c>
      <c r="AG10" s="51">
        <f t="shared" si="6"/>
        <v>-7548.641630945778</v>
      </c>
      <c r="AH10" s="51">
        <f t="shared" si="6"/>
        <v>-5908.955315387189</v>
      </c>
      <c r="AI10" s="51">
        <f t="shared" si="6"/>
        <v>-4956.692756465436</v>
      </c>
      <c r="AJ10" s="51">
        <f t="shared" si="6"/>
        <v>-456.98914840993973</v>
      </c>
      <c r="AK10" s="51">
        <f t="shared" si="6"/>
        <v>-3671.4092095512933</v>
      </c>
      <c r="AL10" s="51">
        <f t="shared" si="6"/>
        <v>-1617.7184946950201</v>
      </c>
      <c r="AM10" s="96">
        <f t="shared" si="7"/>
        <v>-27241.56301126245</v>
      </c>
      <c r="AN10" s="96">
        <f t="shared" si="12"/>
        <v>-41393.32181818185</v>
      </c>
      <c r="AO10" s="96">
        <f t="shared" si="12"/>
        <v>16792.27272727272</v>
      </c>
      <c r="AP10" s="96">
        <f t="shared" si="8"/>
        <v>-51842.61210217158</v>
      </c>
      <c r="AQ10" s="96">
        <f t="shared" si="13"/>
        <v>-160513.54545454547</v>
      </c>
      <c r="AR10" s="78"/>
    </row>
    <row r="11" spans="1:44" s="60" customFormat="1" ht="12.75">
      <c r="A11" s="89">
        <f>'[1]FINAL'!$A5</f>
        <v>39633</v>
      </c>
      <c r="B11" s="51">
        <f>'[1]FINAL'!$B5</f>
        <v>0</v>
      </c>
      <c r="C11" s="51">
        <f>'[1]FINAL'!C5</f>
        <v>0</v>
      </c>
      <c r="D11" s="51">
        <f>'[1]FINAL'!D5</f>
        <v>62.26</v>
      </c>
      <c r="E11" s="51">
        <f>'[1]FINAL'!E5</f>
        <v>0</v>
      </c>
      <c r="F11" s="51">
        <f>'[1]FINAL'!F5</f>
        <v>2804.04</v>
      </c>
      <c r="G11" s="51">
        <f>'[1]FINAL'!G5</f>
        <v>84.78</v>
      </c>
      <c r="H11" s="51">
        <f>'[1]FINAL'!H5</f>
        <v>93.5</v>
      </c>
      <c r="I11" s="52">
        <f>'[2]FINAL'!I5</f>
        <v>0</v>
      </c>
      <c r="J11" s="78">
        <f t="shared" si="14"/>
        <v>3044.5800000000004</v>
      </c>
      <c r="K11" s="52">
        <f>'[1]FINAL'!J5</f>
        <v>44</v>
      </c>
      <c r="L11" s="52">
        <f>'[1]FINAL'!K5</f>
        <v>0</v>
      </c>
      <c r="M11" s="78">
        <f t="shared" si="15"/>
        <v>3088.5800000000004</v>
      </c>
      <c r="N11" s="52">
        <f>'[1]FINAL'!L5</f>
        <v>0</v>
      </c>
      <c r="O11" s="64" t="e">
        <f t="shared" si="16"/>
        <v>#DIV/0!</v>
      </c>
      <c r="P11" s="78">
        <f t="shared" si="9"/>
        <v>40333.6213199259</v>
      </c>
      <c r="Q11" s="78">
        <f t="shared" si="0"/>
        <v>9792.135135881897</v>
      </c>
      <c r="R11" s="78">
        <f t="shared" si="1"/>
        <v>44009.93163094578</v>
      </c>
      <c r="S11" s="78">
        <f t="shared" si="2"/>
        <v>23957.25531538719</v>
      </c>
      <c r="T11" s="78">
        <f t="shared" si="3"/>
        <v>24994.762756465436</v>
      </c>
      <c r="U11" s="78">
        <f t="shared" si="4"/>
        <v>1211.1491484099397</v>
      </c>
      <c r="V11" s="78">
        <f t="shared" si="5"/>
        <v>11104.899209551293</v>
      </c>
      <c r="W11" s="78">
        <f aca="true" t="shared" si="19" ref="W11:W17">$X$3/$X$5*($W$1/$X$1)</f>
        <v>4543.26849469502</v>
      </c>
      <c r="X11" s="78">
        <f>SUM(P11:W11)</f>
        <v>159947.02301126244</v>
      </c>
      <c r="Y11" s="78">
        <f aca="true" t="shared" si="20" ref="Y11:Y17">$Y$3/$X$5</f>
        <v>113318.18181818182</v>
      </c>
      <c r="Z11" s="78">
        <f t="shared" si="17"/>
        <v>93272.72727272728</v>
      </c>
      <c r="AA11" s="78">
        <f>SUM(X11:Z11)</f>
        <v>366537.9321021716</v>
      </c>
      <c r="AB11" s="78">
        <f aca="true" t="shared" si="21" ref="AB11:AB17">$AB$3/$X$5</f>
        <v>400954.54545454547</v>
      </c>
      <c r="AC11" s="76">
        <f t="shared" si="18"/>
        <v>0.9141633041886152</v>
      </c>
      <c r="AD11" s="77"/>
      <c r="AE11" s="78">
        <f t="shared" si="10"/>
        <v>-40333.6213199259</v>
      </c>
      <c r="AF11" s="51">
        <f t="shared" si="11"/>
        <v>-9792.135135881897</v>
      </c>
      <c r="AG11" s="51">
        <f t="shared" si="6"/>
        <v>-43947.67163094578</v>
      </c>
      <c r="AH11" s="51">
        <f t="shared" si="6"/>
        <v>-23957.25531538719</v>
      </c>
      <c r="AI11" s="51">
        <f t="shared" si="6"/>
        <v>-22190.722756465435</v>
      </c>
      <c r="AJ11" s="51">
        <f t="shared" si="6"/>
        <v>-1126.3691484099397</v>
      </c>
      <c r="AK11" s="51">
        <f t="shared" si="6"/>
        <v>-11011.399209551293</v>
      </c>
      <c r="AL11" s="51">
        <f t="shared" si="6"/>
        <v>-4543.26849469502</v>
      </c>
      <c r="AM11" s="78">
        <f t="shared" si="7"/>
        <v>-156902.44301126242</v>
      </c>
      <c r="AN11" s="78">
        <f t="shared" si="12"/>
        <v>-113274.18181818182</v>
      </c>
      <c r="AO11" s="78">
        <f t="shared" si="12"/>
        <v>-93272.72727272728</v>
      </c>
      <c r="AP11" s="78">
        <f t="shared" si="8"/>
        <v>-363449.3521021715</v>
      </c>
      <c r="AQ11" s="78">
        <f t="shared" si="13"/>
        <v>-400954.54545454547</v>
      </c>
      <c r="AR11" s="78">
        <f>AP11/AQ11</f>
        <v>0.9064602365092136</v>
      </c>
    </row>
    <row r="12" spans="1:44" s="206" customFormat="1" ht="12.75">
      <c r="A12" s="199">
        <f>'[1]FINAL'!$A6</f>
        <v>39634</v>
      </c>
      <c r="B12" s="200">
        <f>'[1]FINAL'!$B6</f>
        <v>0</v>
      </c>
      <c r="C12" s="200">
        <f>'[1]FINAL'!C6</f>
        <v>2766.97</v>
      </c>
      <c r="D12" s="200">
        <f>'[1]FINAL'!D6</f>
        <v>3362.25</v>
      </c>
      <c r="E12" s="200">
        <f>'[1]FINAL'!E6</f>
        <v>0</v>
      </c>
      <c r="F12" s="200">
        <f>'[1]FINAL'!F6</f>
        <v>4718.49</v>
      </c>
      <c r="G12" s="200">
        <f>'[1]FINAL'!G6</f>
        <v>333.26</v>
      </c>
      <c r="H12" s="200">
        <f>'[1]FINAL'!H6</f>
        <v>140.26</v>
      </c>
      <c r="I12" s="201">
        <f>'[2]FINAL'!I6</f>
        <v>0</v>
      </c>
      <c r="J12" s="202">
        <f t="shared" si="14"/>
        <v>11321.23</v>
      </c>
      <c r="K12" s="201">
        <f>'[1]FINAL'!J6</f>
        <v>4425.989999999999</v>
      </c>
      <c r="L12" s="201">
        <f>'[1]FINAL'!K6</f>
        <v>0</v>
      </c>
      <c r="M12" s="202">
        <f t="shared" si="15"/>
        <v>15747.219999999998</v>
      </c>
      <c r="N12" s="201">
        <f>'[1]FINAL'!L6</f>
        <v>0</v>
      </c>
      <c r="O12" s="203" t="e">
        <f t="shared" si="16"/>
        <v>#DIV/0!</v>
      </c>
      <c r="P12" s="202">
        <f t="shared" si="9"/>
        <v>40333.6213199259</v>
      </c>
      <c r="Q12" s="202">
        <f t="shared" si="0"/>
        <v>9792.135135881897</v>
      </c>
      <c r="R12" s="202">
        <f t="shared" si="1"/>
        <v>44009.93163094578</v>
      </c>
      <c r="S12" s="202">
        <f t="shared" si="2"/>
        <v>23957.25531538719</v>
      </c>
      <c r="T12" s="202">
        <f t="shared" si="3"/>
        <v>24994.762756465436</v>
      </c>
      <c r="U12" s="202">
        <f t="shared" si="4"/>
        <v>1211.1491484099397</v>
      </c>
      <c r="V12" s="202">
        <f t="shared" si="5"/>
        <v>11104.899209551293</v>
      </c>
      <c r="W12" s="202">
        <f t="shared" si="19"/>
        <v>4543.26849469502</v>
      </c>
      <c r="X12" s="202">
        <f>SUM(P12:W12)</f>
        <v>159947.02301126244</v>
      </c>
      <c r="Y12" s="202">
        <f t="shared" si="20"/>
        <v>113318.18181818182</v>
      </c>
      <c r="Z12" s="202">
        <f t="shared" si="17"/>
        <v>93272.72727272728</v>
      </c>
      <c r="AA12" s="202">
        <f>SUM(X12:Z12)</f>
        <v>366537.9321021716</v>
      </c>
      <c r="AB12" s="202">
        <f t="shared" si="21"/>
        <v>400954.54545454547</v>
      </c>
      <c r="AC12" s="204">
        <f t="shared" si="18"/>
        <v>0.9141633041886152</v>
      </c>
      <c r="AD12" s="205"/>
      <c r="AE12" s="202">
        <f t="shared" si="10"/>
        <v>-40333.6213199259</v>
      </c>
      <c r="AF12" s="200">
        <f t="shared" si="11"/>
        <v>-7025.165135881898</v>
      </c>
      <c r="AG12" s="200">
        <f t="shared" si="6"/>
        <v>-40647.68163094578</v>
      </c>
      <c r="AH12" s="200">
        <f t="shared" si="6"/>
        <v>-23957.25531538719</v>
      </c>
      <c r="AI12" s="200">
        <f t="shared" si="6"/>
        <v>-20276.272756465434</v>
      </c>
      <c r="AJ12" s="200">
        <f t="shared" si="6"/>
        <v>-877.8891484099397</v>
      </c>
      <c r="AK12" s="200">
        <f t="shared" si="6"/>
        <v>-10964.639209551293</v>
      </c>
      <c r="AL12" s="200">
        <f t="shared" si="6"/>
        <v>-4543.26849469502</v>
      </c>
      <c r="AM12" s="202">
        <f t="shared" si="7"/>
        <v>-148625.79301126246</v>
      </c>
      <c r="AN12" s="202">
        <f t="shared" si="12"/>
        <v>-108892.19181818182</v>
      </c>
      <c r="AO12" s="202">
        <f t="shared" si="12"/>
        <v>-93272.72727272728</v>
      </c>
      <c r="AP12" s="202">
        <f t="shared" si="8"/>
        <v>-350790.71210217156</v>
      </c>
      <c r="AQ12" s="202">
        <f t="shared" si="13"/>
        <v>-400954.54545454547</v>
      </c>
      <c r="AR12" s="202">
        <f>AP12/AQ12</f>
        <v>0.8748889770148253</v>
      </c>
    </row>
    <row r="13" spans="1:44" s="206" customFormat="1" ht="12.75">
      <c r="A13" s="199">
        <f>'[1]FINAL'!$A7</f>
        <v>39635</v>
      </c>
      <c r="B13" s="200">
        <f>'[1]FINAL'!$B7</f>
        <v>663.24</v>
      </c>
      <c r="C13" s="200">
        <f>'[1]FINAL'!C7</f>
        <v>7187.19</v>
      </c>
      <c r="D13" s="200">
        <f>'[1]FINAL'!D7</f>
        <v>2632.92</v>
      </c>
      <c r="E13" s="200">
        <f>'[1]FINAL'!E7</f>
        <v>331.52</v>
      </c>
      <c r="F13" s="200">
        <f>'[1]FINAL'!F7</f>
        <v>5963.1</v>
      </c>
      <c r="G13" s="200">
        <f>'[1]FINAL'!G7</f>
        <v>40.92</v>
      </c>
      <c r="H13" s="200">
        <f>'[1]FINAL'!H7</f>
        <v>194.8</v>
      </c>
      <c r="I13" s="201">
        <f>'[2]FINAL'!I7</f>
        <v>0</v>
      </c>
      <c r="J13" s="202">
        <f t="shared" si="14"/>
        <v>17013.69</v>
      </c>
      <c r="K13" s="201">
        <f>'[1]FINAL'!J7</f>
        <v>15599.720000000001</v>
      </c>
      <c r="L13" s="201">
        <f>'[1]FINAL'!K7</f>
        <v>0</v>
      </c>
      <c r="M13" s="202">
        <f t="shared" si="15"/>
        <v>32613.41</v>
      </c>
      <c r="N13" s="201">
        <f>'[1]FINAL'!L7</f>
        <v>0</v>
      </c>
      <c r="O13" s="203" t="e">
        <f t="shared" si="16"/>
        <v>#DIV/0!</v>
      </c>
      <c r="P13" s="202">
        <f t="shared" si="9"/>
        <v>40333.6213199259</v>
      </c>
      <c r="Q13" s="202">
        <f t="shared" si="0"/>
        <v>9792.135135881897</v>
      </c>
      <c r="R13" s="202">
        <f t="shared" si="1"/>
        <v>44009.93163094578</v>
      </c>
      <c r="S13" s="202">
        <f t="shared" si="2"/>
        <v>23957.25531538719</v>
      </c>
      <c r="T13" s="202">
        <f t="shared" si="3"/>
        <v>24994.762756465436</v>
      </c>
      <c r="U13" s="202">
        <f t="shared" si="4"/>
        <v>1211.1491484099397</v>
      </c>
      <c r="V13" s="202">
        <f t="shared" si="5"/>
        <v>11104.899209551293</v>
      </c>
      <c r="W13" s="202">
        <f t="shared" si="19"/>
        <v>4543.26849469502</v>
      </c>
      <c r="X13" s="202">
        <f>SUM(P13:W13)</f>
        <v>159947.02301126244</v>
      </c>
      <c r="Y13" s="202">
        <f t="shared" si="20"/>
        <v>113318.18181818182</v>
      </c>
      <c r="Z13" s="202">
        <f t="shared" si="17"/>
        <v>93272.72727272728</v>
      </c>
      <c r="AA13" s="202">
        <f>SUM(X13:Z13)</f>
        <v>366537.9321021716</v>
      </c>
      <c r="AB13" s="202">
        <f t="shared" si="21"/>
        <v>400954.54545454547</v>
      </c>
      <c r="AC13" s="204">
        <f t="shared" si="18"/>
        <v>0.9141633041886152</v>
      </c>
      <c r="AD13" s="205"/>
      <c r="AE13" s="202">
        <f t="shared" si="10"/>
        <v>-39670.3813199259</v>
      </c>
      <c r="AF13" s="200">
        <f t="shared" si="11"/>
        <v>-2604.945135881898</v>
      </c>
      <c r="AG13" s="200">
        <f t="shared" si="6"/>
        <v>-41377.01163094578</v>
      </c>
      <c r="AH13" s="200">
        <f t="shared" si="6"/>
        <v>-23625.735315387188</v>
      </c>
      <c r="AI13" s="200">
        <f t="shared" si="6"/>
        <v>-19031.662756465434</v>
      </c>
      <c r="AJ13" s="200">
        <f t="shared" si="6"/>
        <v>-1170.2291484099396</v>
      </c>
      <c r="AK13" s="200">
        <f t="shared" si="6"/>
        <v>-10910.099209551294</v>
      </c>
      <c r="AL13" s="200">
        <f t="shared" si="6"/>
        <v>-4543.26849469502</v>
      </c>
      <c r="AM13" s="202">
        <f t="shared" si="7"/>
        <v>-142933.33301126247</v>
      </c>
      <c r="AN13" s="202">
        <f t="shared" si="12"/>
        <v>-97718.46181818182</v>
      </c>
      <c r="AO13" s="202">
        <f t="shared" si="12"/>
        <v>-93272.72727272728</v>
      </c>
      <c r="AP13" s="202">
        <f t="shared" si="8"/>
        <v>-333924.52210217156</v>
      </c>
      <c r="AQ13" s="202">
        <f t="shared" si="13"/>
        <v>-400954.54545454547</v>
      </c>
      <c r="AR13" s="202">
        <f>AP13/AQ13</f>
        <v>0.8328238846216726</v>
      </c>
    </row>
    <row r="14" spans="1:44" s="60" customFormat="1" ht="12.75">
      <c r="A14" s="89">
        <f>'[1]FINAL'!$A8</f>
        <v>39636</v>
      </c>
      <c r="B14" s="51">
        <f>'[1]FINAL'!$B8</f>
        <v>29861.47</v>
      </c>
      <c r="C14" s="51">
        <f>'[1]FINAL'!C8</f>
        <v>4666.37</v>
      </c>
      <c r="D14" s="51">
        <f>'[1]FINAL'!D8</f>
        <v>43474.47</v>
      </c>
      <c r="E14" s="51">
        <f>'[1]FINAL'!E8</f>
        <v>14786.58</v>
      </c>
      <c r="F14" s="51">
        <f>'[1]FINAL'!F8</f>
        <v>19046.73</v>
      </c>
      <c r="G14" s="51">
        <f>'[1]FINAL'!G8</f>
        <v>812.65</v>
      </c>
      <c r="H14" s="51">
        <f>'[1]FINAL'!H8</f>
        <v>9576.29</v>
      </c>
      <c r="I14" s="52">
        <f>'[2]FINAL'!I8</f>
        <v>3834.04</v>
      </c>
      <c r="J14" s="78">
        <f t="shared" si="14"/>
        <v>126058.59999999999</v>
      </c>
      <c r="K14" s="52">
        <f>'[1]FINAL'!J8</f>
        <v>73518.19</v>
      </c>
      <c r="L14" s="52">
        <f>'[1]FINAL'!K8</f>
        <v>120634</v>
      </c>
      <c r="M14" s="78">
        <f t="shared" si="15"/>
        <v>320210.79</v>
      </c>
      <c r="N14" s="52">
        <f>'[1]FINAL'!L8</f>
        <v>255639</v>
      </c>
      <c r="O14" s="64">
        <f t="shared" si="16"/>
        <v>1.252589745696079</v>
      </c>
      <c r="P14" s="78">
        <f t="shared" si="9"/>
        <v>40333.6213199259</v>
      </c>
      <c r="Q14" s="78">
        <f t="shared" si="0"/>
        <v>9792.135135881897</v>
      </c>
      <c r="R14" s="78">
        <f t="shared" si="1"/>
        <v>44009.93163094578</v>
      </c>
      <c r="S14" s="78">
        <f t="shared" si="2"/>
        <v>23957.25531538719</v>
      </c>
      <c r="T14" s="78">
        <f t="shared" si="3"/>
        <v>24994.762756465436</v>
      </c>
      <c r="U14" s="78">
        <f t="shared" si="4"/>
        <v>1211.1491484099397</v>
      </c>
      <c r="V14" s="78">
        <f t="shared" si="5"/>
        <v>11104.899209551293</v>
      </c>
      <c r="W14" s="78">
        <f t="shared" si="19"/>
        <v>4543.26849469502</v>
      </c>
      <c r="X14" s="78">
        <f>SUM(P14:W14)</f>
        <v>159947.02301126244</v>
      </c>
      <c r="Y14" s="78">
        <f t="shared" si="20"/>
        <v>113318.18181818182</v>
      </c>
      <c r="Z14" s="78">
        <f t="shared" si="17"/>
        <v>93272.72727272728</v>
      </c>
      <c r="AA14" s="78">
        <f>SUM(X14:Z14)</f>
        <v>366537.9321021716</v>
      </c>
      <c r="AB14" s="78">
        <f t="shared" si="21"/>
        <v>400954.54545454547</v>
      </c>
      <c r="AC14" s="76">
        <f t="shared" si="18"/>
        <v>0.9141633041886152</v>
      </c>
      <c r="AD14" s="77"/>
      <c r="AE14" s="78">
        <f t="shared" si="10"/>
        <v>-10472.151319925899</v>
      </c>
      <c r="AF14" s="51">
        <f t="shared" si="11"/>
        <v>-5125.765135881898</v>
      </c>
      <c r="AG14" s="51">
        <f t="shared" si="6"/>
        <v>-535.4616309457779</v>
      </c>
      <c r="AH14" s="51">
        <f t="shared" si="6"/>
        <v>-9170.675315387189</v>
      </c>
      <c r="AI14" s="51">
        <f t="shared" si="6"/>
        <v>-5948.032756465436</v>
      </c>
      <c r="AJ14" s="51">
        <f t="shared" si="6"/>
        <v>-398.4991484099397</v>
      </c>
      <c r="AK14" s="51">
        <f t="shared" si="6"/>
        <v>-1528.6092095512922</v>
      </c>
      <c r="AL14" s="51">
        <f t="shared" si="6"/>
        <v>-709.2284946950203</v>
      </c>
      <c r="AM14" s="78">
        <f t="shared" si="7"/>
        <v>-33888.42301126245</v>
      </c>
      <c r="AN14" s="78">
        <f t="shared" si="12"/>
        <v>-39799.99181818182</v>
      </c>
      <c r="AO14" s="78">
        <f t="shared" si="12"/>
        <v>27361.27272727272</v>
      </c>
      <c r="AP14" s="78">
        <f t="shared" si="8"/>
        <v>-46327.14210217155</v>
      </c>
      <c r="AQ14" s="78">
        <f t="shared" si="13"/>
        <v>-145315.54545454547</v>
      </c>
      <c r="AR14" s="78">
        <f>AP14/AQ14</f>
        <v>0.3188037587944273</v>
      </c>
    </row>
    <row r="15" spans="1:44" s="60" customFormat="1" ht="12.75">
      <c r="A15" s="89">
        <f>'[1]FINAL'!$A9</f>
        <v>39637</v>
      </c>
      <c r="B15" s="51">
        <f>'[1]FINAL'!$B9</f>
        <v>34304.97</v>
      </c>
      <c r="C15" s="51">
        <f>'[1]FINAL'!C9</f>
        <v>5405.08</v>
      </c>
      <c r="D15" s="51">
        <f>'[1]FINAL'!D9</f>
        <v>41589.09</v>
      </c>
      <c r="E15" s="51">
        <f>'[1]FINAL'!E9</f>
        <v>16769.86</v>
      </c>
      <c r="F15" s="51">
        <f>'[1]FINAL'!F9</f>
        <v>20750.17</v>
      </c>
      <c r="G15" s="51">
        <f>'[1]FINAL'!G9</f>
        <v>1347.55</v>
      </c>
      <c r="H15" s="51">
        <f>'[1]FINAL'!H9</f>
        <v>9911.36</v>
      </c>
      <c r="I15" s="52">
        <f>'[2]FINAL'!I9</f>
        <v>4175.79</v>
      </c>
      <c r="J15" s="78">
        <f t="shared" si="14"/>
        <v>134253.87</v>
      </c>
      <c r="K15" s="52">
        <f>'[1]FINAL'!J9</f>
        <v>62521.97</v>
      </c>
      <c r="L15" s="52">
        <f>'[1]FINAL'!K9</f>
        <v>122782</v>
      </c>
      <c r="M15" s="78">
        <f t="shared" si="15"/>
        <v>319557.83999999997</v>
      </c>
      <c r="N15" s="52">
        <f>'[1]FINAL'!L9</f>
        <v>221605</v>
      </c>
      <c r="O15" s="64">
        <f t="shared" si="16"/>
        <v>1.4420154779901173</v>
      </c>
      <c r="P15" s="78">
        <f t="shared" si="9"/>
        <v>40333.6213199259</v>
      </c>
      <c r="Q15" s="78">
        <f t="shared" si="0"/>
        <v>9792.135135881897</v>
      </c>
      <c r="R15" s="78">
        <f t="shared" si="1"/>
        <v>44009.93163094578</v>
      </c>
      <c r="S15" s="78">
        <f t="shared" si="2"/>
        <v>23957.25531538719</v>
      </c>
      <c r="T15" s="78">
        <f t="shared" si="3"/>
        <v>24994.762756465436</v>
      </c>
      <c r="U15" s="78">
        <f t="shared" si="4"/>
        <v>1211.1491484099397</v>
      </c>
      <c r="V15" s="78">
        <f t="shared" si="5"/>
        <v>11104.899209551293</v>
      </c>
      <c r="W15" s="78">
        <f t="shared" si="19"/>
        <v>4543.26849469502</v>
      </c>
      <c r="X15" s="78"/>
      <c r="Y15" s="78"/>
      <c r="Z15" s="78"/>
      <c r="AA15" s="78"/>
      <c r="AB15" s="78"/>
      <c r="AC15" s="76"/>
      <c r="AD15" s="77"/>
      <c r="AE15" s="78">
        <f t="shared" si="10"/>
        <v>-6028.651319925899</v>
      </c>
      <c r="AF15" s="51">
        <f t="shared" si="11"/>
        <v>-4387.0551358818975</v>
      </c>
      <c r="AG15" s="51">
        <f t="shared" si="6"/>
        <v>-2420.8416309457825</v>
      </c>
      <c r="AH15" s="51">
        <f t="shared" si="6"/>
        <v>-7187.395315387188</v>
      </c>
      <c r="AI15" s="51">
        <f t="shared" si="6"/>
        <v>-4244.592756465438</v>
      </c>
      <c r="AJ15" s="51">
        <f t="shared" si="6"/>
        <v>136.40085159006026</v>
      </c>
      <c r="AK15" s="51">
        <f t="shared" si="6"/>
        <v>-1193.5392095512925</v>
      </c>
      <c r="AL15" s="51">
        <f t="shared" si="6"/>
        <v>-367.47849469502034</v>
      </c>
      <c r="AM15" s="78">
        <f t="shared" si="7"/>
        <v>-25693.153011262457</v>
      </c>
      <c r="AN15" s="78">
        <f t="shared" si="12"/>
        <v>62521.97</v>
      </c>
      <c r="AO15" s="78">
        <f t="shared" si="12"/>
        <v>122782</v>
      </c>
      <c r="AP15" s="78">
        <f t="shared" si="8"/>
        <v>159610.81698873756</v>
      </c>
      <c r="AQ15" s="78">
        <f t="shared" si="13"/>
        <v>221605</v>
      </c>
      <c r="AR15" s="78">
        <f>AP15/AQ15</f>
        <v>0.7202491685148691</v>
      </c>
    </row>
    <row r="16" spans="1:44" s="60" customFormat="1" ht="12.75">
      <c r="A16" s="89">
        <f>'[1]FINAL'!$A10</f>
        <v>39638</v>
      </c>
      <c r="B16" s="51">
        <f>'[1]FINAL'!$B10</f>
        <v>43571.46</v>
      </c>
      <c r="C16" s="51">
        <f>'[1]FINAL'!C10</f>
        <v>7257.48</v>
      </c>
      <c r="D16" s="51">
        <f>'[1]FINAL'!D10</f>
        <v>42820.4</v>
      </c>
      <c r="E16" s="51">
        <f>'[1]FINAL'!E10</f>
        <v>19627.03</v>
      </c>
      <c r="F16" s="51">
        <f>'[1]FINAL'!F10</f>
        <v>18938.06</v>
      </c>
      <c r="G16" s="51">
        <f>'[1]FINAL'!G10</f>
        <v>988.05</v>
      </c>
      <c r="H16" s="51">
        <f>'[1]FINAL'!H10</f>
        <v>12474.89</v>
      </c>
      <c r="I16" s="52">
        <f>'[2]FINAL'!I10</f>
        <v>4375.85</v>
      </c>
      <c r="J16" s="78">
        <f t="shared" si="14"/>
        <v>150053.22</v>
      </c>
      <c r="K16" s="52">
        <f>'[1]FINAL'!J10</f>
        <v>85607.42999999998</v>
      </c>
      <c r="L16" s="52">
        <f>'[1]FINAL'!K10</f>
        <v>125882</v>
      </c>
      <c r="M16" s="78">
        <f t="shared" si="15"/>
        <v>361542.64999999997</v>
      </c>
      <c r="N16" s="52">
        <f>'[1]FINAL'!L10</f>
        <v>258671</v>
      </c>
      <c r="O16" s="64">
        <f t="shared" si="16"/>
        <v>1.3976930154520606</v>
      </c>
      <c r="P16" s="78">
        <f t="shared" si="9"/>
        <v>40333.6213199259</v>
      </c>
      <c r="Q16" s="78">
        <f t="shared" si="0"/>
        <v>9792.135135881897</v>
      </c>
      <c r="R16" s="78">
        <f t="shared" si="1"/>
        <v>44009.93163094578</v>
      </c>
      <c r="S16" s="78">
        <f t="shared" si="2"/>
        <v>23957.25531538719</v>
      </c>
      <c r="T16" s="78">
        <f t="shared" si="3"/>
        <v>24994.762756465436</v>
      </c>
      <c r="U16" s="78">
        <f t="shared" si="4"/>
        <v>1211.1491484099397</v>
      </c>
      <c r="V16" s="78">
        <f t="shared" si="5"/>
        <v>11104.899209551293</v>
      </c>
      <c r="W16" s="78">
        <f t="shared" si="19"/>
        <v>4543.26849469502</v>
      </c>
      <c r="X16" s="62"/>
      <c r="Y16" s="62"/>
      <c r="Z16" s="62"/>
      <c r="AA16" s="62"/>
      <c r="AB16" s="62"/>
      <c r="AC16" s="76"/>
      <c r="AD16" s="77"/>
      <c r="AE16" s="78">
        <f t="shared" si="10"/>
        <v>3237.838680074099</v>
      </c>
      <c r="AF16" s="51">
        <f t="shared" si="11"/>
        <v>-2534.655135881898</v>
      </c>
      <c r="AG16" s="51">
        <f t="shared" si="6"/>
        <v>-1189.5316309457776</v>
      </c>
      <c r="AH16" s="51">
        <f t="shared" si="6"/>
        <v>-4330.22531538719</v>
      </c>
      <c r="AI16" s="51">
        <f t="shared" si="6"/>
        <v>-6056.7027564654345</v>
      </c>
      <c r="AJ16" s="51">
        <f t="shared" si="6"/>
        <v>-223.09914840993974</v>
      </c>
      <c r="AK16" s="51">
        <f t="shared" si="6"/>
        <v>1369.9907904487063</v>
      </c>
      <c r="AL16" s="51">
        <f t="shared" si="6"/>
        <v>-167.41849469501994</v>
      </c>
      <c r="AM16" s="78">
        <f t="shared" si="7"/>
        <v>-9893.803011262455</v>
      </c>
      <c r="AN16" s="78">
        <f t="shared" si="12"/>
        <v>85607.42999999998</v>
      </c>
      <c r="AO16" s="78">
        <f t="shared" si="12"/>
        <v>125882</v>
      </c>
      <c r="AP16" s="78">
        <f t="shared" si="8"/>
        <v>201595.62698873752</v>
      </c>
      <c r="AQ16" s="78">
        <f t="shared" si="13"/>
        <v>258671</v>
      </c>
      <c r="AR16" s="78"/>
    </row>
    <row r="17" spans="1:44" s="60" customFormat="1" ht="12.75">
      <c r="A17" s="89">
        <f>'[1]FINAL'!$A11</f>
        <v>39639</v>
      </c>
      <c r="B17" s="51">
        <f>'[1]FINAL'!$B11</f>
        <v>33084.88</v>
      </c>
      <c r="C17" s="51">
        <f>'[1]FINAL'!C11</f>
        <v>9063.05</v>
      </c>
      <c r="D17" s="51">
        <f>'[1]FINAL'!D11</f>
        <v>37431.23</v>
      </c>
      <c r="E17" s="51">
        <f>'[1]FINAL'!E11</f>
        <v>18422.35</v>
      </c>
      <c r="F17" s="51">
        <f>'[1]FINAL'!F11</f>
        <v>20588.68</v>
      </c>
      <c r="G17" s="51">
        <f>'[1]FINAL'!G11</f>
        <v>944.17</v>
      </c>
      <c r="H17" s="51">
        <f>'[1]FINAL'!H11</f>
        <v>12178.78</v>
      </c>
      <c r="I17" s="52">
        <f>'[2]FINAL'!I11</f>
        <v>4434.22</v>
      </c>
      <c r="J17" s="78">
        <f t="shared" si="14"/>
        <v>136147.36000000002</v>
      </c>
      <c r="K17" s="52">
        <f>'[1]FINAL'!J11</f>
        <v>78807.87999999998</v>
      </c>
      <c r="L17" s="52">
        <f>'[1]FINAL'!K11</f>
        <v>118034</v>
      </c>
      <c r="M17" s="78">
        <f t="shared" si="15"/>
        <v>332989.24</v>
      </c>
      <c r="N17" s="52">
        <f>'[1]FINAL'!L11</f>
        <v>281398</v>
      </c>
      <c r="O17" s="64">
        <f t="shared" si="16"/>
        <v>1.1833390429214137</v>
      </c>
      <c r="P17" s="78">
        <f t="shared" si="9"/>
        <v>40333.6213199259</v>
      </c>
      <c r="Q17" s="78">
        <f t="shared" si="0"/>
        <v>9792.135135881897</v>
      </c>
      <c r="R17" s="78">
        <f t="shared" si="1"/>
        <v>44009.93163094578</v>
      </c>
      <c r="S17" s="78">
        <f t="shared" si="2"/>
        <v>23957.25531538719</v>
      </c>
      <c r="T17" s="78">
        <f t="shared" si="3"/>
        <v>24994.762756465436</v>
      </c>
      <c r="U17" s="78">
        <f t="shared" si="4"/>
        <v>1211.1491484099397</v>
      </c>
      <c r="V17" s="78">
        <f t="shared" si="5"/>
        <v>11104.899209551293</v>
      </c>
      <c r="W17" s="78">
        <f t="shared" si="19"/>
        <v>4543.26849469502</v>
      </c>
      <c r="X17" s="78">
        <f aca="true" t="shared" si="22" ref="X17:X28">SUM(P17:W17)</f>
        <v>159947.02301126244</v>
      </c>
      <c r="Y17" s="78">
        <f t="shared" si="20"/>
        <v>113318.18181818182</v>
      </c>
      <c r="Z17" s="78">
        <f t="shared" si="17"/>
        <v>93272.72727272728</v>
      </c>
      <c r="AA17" s="78">
        <f>SUM(X17:Z17)</f>
        <v>366537.9321021716</v>
      </c>
      <c r="AB17" s="78">
        <f t="shared" si="21"/>
        <v>400954.54545454547</v>
      </c>
      <c r="AC17" s="76">
        <f t="shared" si="18"/>
        <v>0.9141633041886152</v>
      </c>
      <c r="AD17" s="77"/>
      <c r="AE17" s="78">
        <f t="shared" si="10"/>
        <v>-7248.741319925903</v>
      </c>
      <c r="AF17" s="51">
        <f t="shared" si="11"/>
        <v>-729.0851358818982</v>
      </c>
      <c r="AG17" s="51">
        <f t="shared" si="6"/>
        <v>-6578.701630945776</v>
      </c>
      <c r="AH17" s="51">
        <f t="shared" si="6"/>
        <v>-5534.90531538719</v>
      </c>
      <c r="AI17" s="51">
        <f t="shared" si="6"/>
        <v>-4406.0827564654355</v>
      </c>
      <c r="AJ17" s="51">
        <f t="shared" si="6"/>
        <v>-266.97914840993974</v>
      </c>
      <c r="AK17" s="51">
        <f t="shared" si="6"/>
        <v>1073.8807904487076</v>
      </c>
      <c r="AL17" s="51">
        <f t="shared" si="6"/>
        <v>-109.04849469502005</v>
      </c>
      <c r="AM17" s="78">
        <f t="shared" si="7"/>
        <v>-23799.663011262455</v>
      </c>
      <c r="AN17" s="78">
        <f t="shared" si="12"/>
        <v>-34510.30181818185</v>
      </c>
      <c r="AO17" s="78">
        <f t="shared" si="12"/>
        <v>24761.27272727272</v>
      </c>
      <c r="AP17" s="78">
        <f t="shared" si="8"/>
        <v>-33548.69210217158</v>
      </c>
      <c r="AQ17" s="78">
        <f t="shared" si="13"/>
        <v>-119556.54545454547</v>
      </c>
      <c r="AR17" s="78"/>
    </row>
    <row r="18" spans="1:44" s="60" customFormat="1" ht="12.75">
      <c r="A18" s="89">
        <f>'[1]FINAL'!$A12</f>
        <v>39640</v>
      </c>
      <c r="B18" s="51">
        <f>'[1]FINAL'!$B12</f>
        <v>38019.5</v>
      </c>
      <c r="C18" s="51">
        <f>'[1]FINAL'!C12</f>
        <v>4572.64</v>
      </c>
      <c r="D18" s="51">
        <f>'[1]FINAL'!D12</f>
        <v>43071.81</v>
      </c>
      <c r="E18" s="51">
        <f>'[1]FINAL'!E12</f>
        <v>17981.69</v>
      </c>
      <c r="F18" s="51">
        <f>'[1]FINAL'!F12</f>
        <v>20171.69</v>
      </c>
      <c r="G18" s="51">
        <f>'[1]FINAL'!G12</f>
        <v>736.65</v>
      </c>
      <c r="H18" s="51">
        <f>'[1]FINAL'!H12</f>
        <v>10113.93</v>
      </c>
      <c r="I18" s="52">
        <f>'[2]FINAL'!I12</f>
        <v>4117.52</v>
      </c>
      <c r="J18" s="78">
        <f t="shared" si="14"/>
        <v>138785.43</v>
      </c>
      <c r="K18" s="52">
        <f>'[1]FINAL'!J12</f>
        <v>76684.20000000001</v>
      </c>
      <c r="L18" s="52">
        <f>'[1]FINAL'!K12</f>
        <v>114555</v>
      </c>
      <c r="M18" s="78">
        <f t="shared" si="15"/>
        <v>330024.63</v>
      </c>
      <c r="N18" s="52">
        <f>'[1]FINAL'!L12</f>
        <v>486064</v>
      </c>
      <c r="O18" s="64">
        <f t="shared" si="16"/>
        <v>0.6789736125283913</v>
      </c>
      <c r="P18" s="78">
        <f t="shared" si="9"/>
        <v>40333.6213199259</v>
      </c>
      <c r="Q18" s="78">
        <f aca="true" t="shared" si="23" ref="Q18:Q30">$X$3/$X$5*($Q$1/$X$1)</f>
        <v>9792.135135881897</v>
      </c>
      <c r="R18" s="78">
        <f aca="true" t="shared" si="24" ref="R18:R30">$X$3/$X$5*($R$1/$X$1)</f>
        <v>44009.93163094578</v>
      </c>
      <c r="S18" s="78">
        <f aca="true" t="shared" si="25" ref="S18:S30">$X$3/$X$5*($S$1/$X$1)</f>
        <v>23957.25531538719</v>
      </c>
      <c r="T18" s="78">
        <f aca="true" t="shared" si="26" ref="T18:T30">$X$3/$X$5*($T$1/$X$1)</f>
        <v>24994.762756465436</v>
      </c>
      <c r="U18" s="78">
        <f aca="true" t="shared" si="27" ref="U18:U30">$X$3/$X$5*($U$1/$X$1)</f>
        <v>1211.1491484099397</v>
      </c>
      <c r="V18" s="78">
        <f aca="true" t="shared" si="28" ref="V18:V30">$X$3/$X$5*($V$1/$X$1)</f>
        <v>11104.899209551293</v>
      </c>
      <c r="W18" s="78">
        <f aca="true" t="shared" si="29" ref="W18:W30">$X$3/$X$5*($W$1/$X$1)</f>
        <v>4543.26849469502</v>
      </c>
      <c r="X18" s="78">
        <f t="shared" si="22"/>
        <v>159947.02301126244</v>
      </c>
      <c r="Y18" s="78">
        <f aca="true" t="shared" si="30" ref="Y18:Y27">$Y$3/$X$5</f>
        <v>113318.18181818182</v>
      </c>
      <c r="Z18" s="78">
        <f>$Z$3/$X$5</f>
        <v>93272.72727272728</v>
      </c>
      <c r="AA18" s="78">
        <f>SUM(X18:Z18)</f>
        <v>366537.9321021716</v>
      </c>
      <c r="AB18" s="78">
        <f>$AB$3/$X$5</f>
        <v>400954.54545454547</v>
      </c>
      <c r="AC18" s="76">
        <f>AA18/AB18</f>
        <v>0.9141633041886152</v>
      </c>
      <c r="AD18" s="77"/>
      <c r="AE18" s="78">
        <f t="shared" si="10"/>
        <v>-2314.1213199259</v>
      </c>
      <c r="AF18" s="51">
        <f t="shared" si="11"/>
        <v>-5219.495135881897</v>
      </c>
      <c r="AG18" s="51">
        <f t="shared" si="6"/>
        <v>-938.1216309457814</v>
      </c>
      <c r="AH18" s="51">
        <f t="shared" si="6"/>
        <v>-5975.56531538719</v>
      </c>
      <c r="AI18" s="51">
        <f t="shared" si="6"/>
        <v>-4823.072756465437</v>
      </c>
      <c r="AJ18" s="51">
        <f t="shared" si="6"/>
        <v>-474.4991484099397</v>
      </c>
      <c r="AK18" s="51">
        <f t="shared" si="6"/>
        <v>-990.9692095512928</v>
      </c>
      <c r="AL18" s="51">
        <f t="shared" si="6"/>
        <v>-425.7484946950199</v>
      </c>
      <c r="AM18" s="78">
        <f t="shared" si="7"/>
        <v>-21161.593011262463</v>
      </c>
      <c r="AN18" s="78">
        <f t="shared" si="12"/>
        <v>-36633.98181818181</v>
      </c>
      <c r="AO18" s="78">
        <f t="shared" si="12"/>
        <v>21282.27272727272</v>
      </c>
      <c r="AP18" s="78">
        <f t="shared" si="8"/>
        <v>-36513.302102171554</v>
      </c>
      <c r="AQ18" s="78">
        <f t="shared" si="13"/>
        <v>85109.45454545453</v>
      </c>
      <c r="AR18" s="78">
        <f>AP18/AQ18</f>
        <v>-0.42901581612969736</v>
      </c>
    </row>
    <row r="19" spans="1:44" s="206" customFormat="1" ht="12.75">
      <c r="A19" s="199">
        <f>'[1]FINAL'!$A13</f>
        <v>39641</v>
      </c>
      <c r="B19" s="200">
        <f>'[1]FINAL'!$B13</f>
        <v>7726.91</v>
      </c>
      <c r="C19" s="200">
        <f>'[1]FINAL'!C13</f>
        <v>9743.02</v>
      </c>
      <c r="D19" s="200">
        <f>'[1]FINAL'!D13</f>
        <v>17463.47</v>
      </c>
      <c r="E19" s="200">
        <f>'[1]FINAL'!E13</f>
        <v>8833.38</v>
      </c>
      <c r="F19" s="200">
        <f>'[1]FINAL'!F13</f>
        <v>11755.84</v>
      </c>
      <c r="G19" s="200">
        <f>'[1]FINAL'!G13</f>
        <v>388.76</v>
      </c>
      <c r="H19" s="200">
        <f>'[1]FINAL'!H13</f>
        <v>0</v>
      </c>
      <c r="I19" s="201">
        <f>'[2]FINAL'!I13</f>
        <v>0</v>
      </c>
      <c r="J19" s="202">
        <f t="shared" si="14"/>
        <v>55911.38</v>
      </c>
      <c r="K19" s="201">
        <f>'[1]FINAL'!J13</f>
        <v>25103.519999999993</v>
      </c>
      <c r="L19" s="201">
        <f>'[1]FINAL'!K13</f>
        <v>41083</v>
      </c>
      <c r="M19" s="202">
        <f t="shared" si="15"/>
        <v>122097.9</v>
      </c>
      <c r="N19" s="201">
        <f>'[1]FINAL'!L13</f>
        <v>0</v>
      </c>
      <c r="O19" s="203" t="e">
        <f t="shared" si="16"/>
        <v>#DIV/0!</v>
      </c>
      <c r="P19" s="202">
        <f t="shared" si="9"/>
        <v>40333.6213199259</v>
      </c>
      <c r="Q19" s="202">
        <f t="shared" si="23"/>
        <v>9792.135135881897</v>
      </c>
      <c r="R19" s="202">
        <f t="shared" si="24"/>
        <v>44009.93163094578</v>
      </c>
      <c r="S19" s="202">
        <f t="shared" si="25"/>
        <v>23957.25531538719</v>
      </c>
      <c r="T19" s="202">
        <f t="shared" si="26"/>
        <v>24994.762756465436</v>
      </c>
      <c r="U19" s="202">
        <f t="shared" si="27"/>
        <v>1211.1491484099397</v>
      </c>
      <c r="V19" s="202">
        <f t="shared" si="28"/>
        <v>11104.899209551293</v>
      </c>
      <c r="W19" s="202">
        <f t="shared" si="29"/>
        <v>4543.26849469502</v>
      </c>
      <c r="X19" s="202">
        <f t="shared" si="22"/>
        <v>159947.02301126244</v>
      </c>
      <c r="Y19" s="202">
        <f t="shared" si="30"/>
        <v>113318.18181818182</v>
      </c>
      <c r="Z19" s="202">
        <f>$Z$3/$X$5</f>
        <v>93272.72727272728</v>
      </c>
      <c r="AA19" s="202">
        <f>SUM(X19:Z19)</f>
        <v>366537.9321021716</v>
      </c>
      <c r="AB19" s="202">
        <f>$AB$3/$X$5</f>
        <v>400954.54545454547</v>
      </c>
      <c r="AC19" s="204">
        <f>AA19/AB19</f>
        <v>0.9141633041886152</v>
      </c>
      <c r="AD19" s="205"/>
      <c r="AE19" s="202">
        <f t="shared" si="10"/>
        <v>-32606.7113199259</v>
      </c>
      <c r="AF19" s="200">
        <f t="shared" si="11"/>
        <v>-49.115135881897004</v>
      </c>
      <c r="AG19" s="200">
        <f t="shared" si="6"/>
        <v>-26546.461630945778</v>
      </c>
      <c r="AH19" s="200">
        <f t="shared" si="6"/>
        <v>-15123.87531538719</v>
      </c>
      <c r="AI19" s="200">
        <f t="shared" si="6"/>
        <v>-13238.922756465436</v>
      </c>
      <c r="AJ19" s="200">
        <f t="shared" si="6"/>
        <v>-822.3891484099397</v>
      </c>
      <c r="AK19" s="200">
        <f t="shared" si="6"/>
        <v>-11104.899209551293</v>
      </c>
      <c r="AL19" s="200">
        <f t="shared" si="6"/>
        <v>-4543.26849469502</v>
      </c>
      <c r="AM19" s="202">
        <f t="shared" si="7"/>
        <v>-104035.64301126245</v>
      </c>
      <c r="AN19" s="202">
        <f t="shared" si="12"/>
        <v>-88214.66181818183</v>
      </c>
      <c r="AO19" s="202">
        <f t="shared" si="12"/>
        <v>-52189.72727272728</v>
      </c>
      <c r="AP19" s="202">
        <f t="shared" si="8"/>
        <v>-244440.03210217156</v>
      </c>
      <c r="AQ19" s="202">
        <f t="shared" si="13"/>
        <v>-400954.54545454547</v>
      </c>
      <c r="AR19" s="202">
        <f>AP19/AQ19</f>
        <v>0.6096452450116511</v>
      </c>
    </row>
    <row r="20" spans="1:44" s="206" customFormat="1" ht="12.75">
      <c r="A20" s="199">
        <f>'[1]FINAL'!$A14</f>
        <v>39642</v>
      </c>
      <c r="B20" s="200">
        <f>'[1]FINAL'!$B14</f>
        <v>538.83</v>
      </c>
      <c r="C20" s="200">
        <f>'[1]FINAL'!C14</f>
        <v>8664.34</v>
      </c>
      <c r="D20" s="200">
        <f>'[1]FINAL'!D14</f>
        <v>14870.76</v>
      </c>
      <c r="E20" s="200">
        <f>'[1]FINAL'!E14</f>
        <v>2962.17</v>
      </c>
      <c r="F20" s="200">
        <f>'[1]FINAL'!F14</f>
        <v>7208.16</v>
      </c>
      <c r="G20" s="200">
        <f>'[1]FINAL'!G14</f>
        <v>236.76</v>
      </c>
      <c r="H20" s="200">
        <f>'[1]FINAL'!H14</f>
        <v>15.58</v>
      </c>
      <c r="I20" s="201">
        <f>'[2]FINAL'!I14</f>
        <v>0</v>
      </c>
      <c r="J20" s="202">
        <f t="shared" si="14"/>
        <v>34496.6</v>
      </c>
      <c r="K20" s="201">
        <f>'[1]FINAL'!J14</f>
        <v>19336.55000000001</v>
      </c>
      <c r="L20" s="201">
        <f>'[1]FINAL'!K14</f>
        <v>38205</v>
      </c>
      <c r="M20" s="202">
        <f t="shared" si="15"/>
        <v>92038.15000000001</v>
      </c>
      <c r="N20" s="201">
        <f>'[1]FINAL'!L14</f>
        <v>0</v>
      </c>
      <c r="O20" s="203" t="e">
        <f t="shared" si="16"/>
        <v>#DIV/0!</v>
      </c>
      <c r="P20" s="202">
        <f t="shared" si="9"/>
        <v>40333.6213199259</v>
      </c>
      <c r="Q20" s="202">
        <f t="shared" si="23"/>
        <v>9792.135135881897</v>
      </c>
      <c r="R20" s="202">
        <f t="shared" si="24"/>
        <v>44009.93163094578</v>
      </c>
      <c r="S20" s="202">
        <f t="shared" si="25"/>
        <v>23957.25531538719</v>
      </c>
      <c r="T20" s="202">
        <f t="shared" si="26"/>
        <v>24994.762756465436</v>
      </c>
      <c r="U20" s="202">
        <f t="shared" si="27"/>
        <v>1211.1491484099397</v>
      </c>
      <c r="V20" s="202">
        <f t="shared" si="28"/>
        <v>11104.899209551293</v>
      </c>
      <c r="W20" s="202">
        <f t="shared" si="29"/>
        <v>4543.26849469502</v>
      </c>
      <c r="X20" s="202">
        <f t="shared" si="22"/>
        <v>159947.02301126244</v>
      </c>
      <c r="Y20" s="202">
        <f t="shared" si="30"/>
        <v>113318.18181818182</v>
      </c>
      <c r="Z20" s="202">
        <f>$Z$3/$X$5</f>
        <v>93272.72727272728</v>
      </c>
      <c r="AA20" s="202">
        <f>SUM(X20:Z20)</f>
        <v>366537.9321021716</v>
      </c>
      <c r="AB20" s="202">
        <f>$AB$3/$X$5</f>
        <v>400954.54545454547</v>
      </c>
      <c r="AC20" s="204">
        <f>AA20/AB20</f>
        <v>0.9141633041886152</v>
      </c>
      <c r="AD20" s="205"/>
      <c r="AE20" s="202">
        <f t="shared" si="10"/>
        <v>-39794.7913199259</v>
      </c>
      <c r="AF20" s="200">
        <f t="shared" si="11"/>
        <v>-1127.7951358818973</v>
      </c>
      <c r="AG20" s="200">
        <f t="shared" si="6"/>
        <v>-29139.171630945777</v>
      </c>
      <c r="AH20" s="200">
        <f t="shared" si="6"/>
        <v>-20995.085315387187</v>
      </c>
      <c r="AI20" s="200">
        <f t="shared" si="6"/>
        <v>-17786.602756465436</v>
      </c>
      <c r="AJ20" s="200">
        <f t="shared" si="6"/>
        <v>-974.3891484099397</v>
      </c>
      <c r="AK20" s="200">
        <f t="shared" si="6"/>
        <v>-11089.319209551293</v>
      </c>
      <c r="AL20" s="200">
        <f t="shared" si="6"/>
        <v>-4543.26849469502</v>
      </c>
      <c r="AM20" s="202">
        <f t="shared" si="7"/>
        <v>-125450.42301126245</v>
      </c>
      <c r="AN20" s="202">
        <f t="shared" si="12"/>
        <v>-93981.6318181818</v>
      </c>
      <c r="AO20" s="202">
        <f t="shared" si="12"/>
        <v>-55067.72727272728</v>
      </c>
      <c r="AP20" s="202">
        <f t="shared" si="8"/>
        <v>-274499.78210217156</v>
      </c>
      <c r="AQ20" s="202">
        <f t="shared" si="13"/>
        <v>-400954.54545454547</v>
      </c>
      <c r="AR20" s="202">
        <f>AP20/AQ20</f>
        <v>0.6846157132125353</v>
      </c>
    </row>
    <row r="21" spans="1:44" s="60" customFormat="1" ht="12.75">
      <c r="A21" s="89">
        <f>'[1]FINAL'!$A15</f>
        <v>39643</v>
      </c>
      <c r="B21" s="51">
        <f>'[1]FINAL'!$B15</f>
        <v>33884.83</v>
      </c>
      <c r="C21" s="51">
        <f>'[1]FINAL'!C15</f>
        <v>8840.29</v>
      </c>
      <c r="D21" s="51">
        <f>'[1]FINAL'!D15</f>
        <v>40222.96</v>
      </c>
      <c r="E21" s="51">
        <f>'[1]FINAL'!E15</f>
        <v>19852.53</v>
      </c>
      <c r="F21" s="51">
        <f>'[1]FINAL'!F15</f>
        <v>23024.49</v>
      </c>
      <c r="G21" s="51">
        <f>'[1]FINAL'!G15</f>
        <v>727.88</v>
      </c>
      <c r="H21" s="51">
        <f>'[1]FINAL'!H15</f>
        <v>7924.35</v>
      </c>
      <c r="I21" s="52">
        <f>'[2]FINAL'!I15</f>
        <v>3459.15</v>
      </c>
      <c r="J21" s="78">
        <f t="shared" si="14"/>
        <v>137936.48</v>
      </c>
      <c r="K21" s="52">
        <f>'[1]FINAL'!J15</f>
        <v>83263.45000000003</v>
      </c>
      <c r="L21" s="52">
        <f>'[1]FINAL'!K15</f>
        <v>106645</v>
      </c>
      <c r="M21" s="78">
        <f t="shared" si="15"/>
        <v>327844.93000000005</v>
      </c>
      <c r="N21" s="52">
        <f>'[1]FINAL'!L15</f>
        <v>476914</v>
      </c>
      <c r="O21" s="64">
        <f t="shared" si="16"/>
        <v>0.6874298720524037</v>
      </c>
      <c r="P21" s="78">
        <f t="shared" si="9"/>
        <v>40333.6213199259</v>
      </c>
      <c r="Q21" s="78">
        <f t="shared" si="23"/>
        <v>9792.135135881897</v>
      </c>
      <c r="R21" s="78">
        <f t="shared" si="24"/>
        <v>44009.93163094578</v>
      </c>
      <c r="S21" s="78">
        <f t="shared" si="25"/>
        <v>23957.25531538719</v>
      </c>
      <c r="T21" s="78">
        <f t="shared" si="26"/>
        <v>24994.762756465436</v>
      </c>
      <c r="U21" s="78">
        <f t="shared" si="27"/>
        <v>1211.1491484099397</v>
      </c>
      <c r="V21" s="78">
        <f t="shared" si="28"/>
        <v>11104.899209551293</v>
      </c>
      <c r="W21" s="78">
        <f t="shared" si="29"/>
        <v>4543.26849469502</v>
      </c>
      <c r="X21" s="78">
        <f t="shared" si="22"/>
        <v>159947.02301126244</v>
      </c>
      <c r="Y21" s="78">
        <f t="shared" si="30"/>
        <v>113318.18181818182</v>
      </c>
      <c r="Z21" s="78">
        <f>$Z$3/$X$5</f>
        <v>93272.72727272728</v>
      </c>
      <c r="AA21" s="78">
        <f>SUM(X21:Z21)</f>
        <v>366537.9321021716</v>
      </c>
      <c r="AB21" s="78">
        <f>$AB$3/$X$5</f>
        <v>400954.54545454547</v>
      </c>
      <c r="AC21" s="76">
        <f>AA21/AB21</f>
        <v>0.9141633041886152</v>
      </c>
      <c r="AD21" s="77"/>
      <c r="AE21" s="78">
        <f t="shared" si="10"/>
        <v>-6448.791319925898</v>
      </c>
      <c r="AF21" s="51">
        <f t="shared" si="11"/>
        <v>-951.8451358818966</v>
      </c>
      <c r="AG21" s="51">
        <f t="shared" si="6"/>
        <v>-3786.97163094578</v>
      </c>
      <c r="AH21" s="51">
        <f t="shared" si="6"/>
        <v>-4104.72531538719</v>
      </c>
      <c r="AI21" s="51">
        <f t="shared" si="6"/>
        <v>-1970.2727564654342</v>
      </c>
      <c r="AJ21" s="51">
        <f t="shared" si="6"/>
        <v>-483.2691484099397</v>
      </c>
      <c r="AK21" s="51">
        <f t="shared" si="6"/>
        <v>-3180.5492095512927</v>
      </c>
      <c r="AL21" s="51">
        <f t="shared" si="6"/>
        <v>-1084.1184946950202</v>
      </c>
      <c r="AM21" s="78">
        <f t="shared" si="7"/>
        <v>-22010.543011262453</v>
      </c>
      <c r="AN21" s="78">
        <f t="shared" si="12"/>
        <v>-30054.731818181797</v>
      </c>
      <c r="AO21" s="78">
        <f t="shared" si="12"/>
        <v>13372.27272727272</v>
      </c>
      <c r="AP21" s="78">
        <f t="shared" si="8"/>
        <v>-38693.00210217153</v>
      </c>
      <c r="AQ21" s="78">
        <f t="shared" si="13"/>
        <v>75959.45454545453</v>
      </c>
      <c r="AR21" s="78">
        <f>AP21/AQ21</f>
        <v>-0.5093902047310969</v>
      </c>
    </row>
    <row r="22" spans="1:44" s="60" customFormat="1" ht="12.75">
      <c r="A22" s="89">
        <f>'[1]FINAL'!$A16</f>
        <v>39644</v>
      </c>
      <c r="B22" s="51">
        <f>'[1]FINAL'!$B16</f>
        <v>39494.54</v>
      </c>
      <c r="C22" s="51">
        <f>'[1]FINAL'!C16</f>
        <v>8277.6</v>
      </c>
      <c r="D22" s="51">
        <f>'[1]FINAL'!D16</f>
        <v>42430.34</v>
      </c>
      <c r="E22" s="51">
        <f>'[1]FINAL'!E16</f>
        <v>20375.04</v>
      </c>
      <c r="F22" s="51">
        <f>'[1]FINAL'!F16</f>
        <v>23102.47</v>
      </c>
      <c r="G22" s="51">
        <f>'[1]FINAL'!G16</f>
        <v>1075.68</v>
      </c>
      <c r="H22" s="51">
        <f>'[1]FINAL'!H16</f>
        <v>12802.18</v>
      </c>
      <c r="I22" s="52">
        <f>'[2]FINAL'!I16</f>
        <v>3575.78</v>
      </c>
      <c r="J22" s="78">
        <f t="shared" si="14"/>
        <v>151133.62999999998</v>
      </c>
      <c r="K22" s="52">
        <f>'[1]FINAL'!J16</f>
        <v>83322.52000000006</v>
      </c>
      <c r="L22" s="52">
        <f>'[1]FINAL'!K16</f>
        <v>121948</v>
      </c>
      <c r="M22" s="78">
        <f t="shared" si="15"/>
        <v>356404.15</v>
      </c>
      <c r="N22" s="52">
        <f>'[1]FINAL'!L16</f>
        <v>370340</v>
      </c>
      <c r="O22" s="64">
        <f t="shared" si="16"/>
        <v>0.9623701193497868</v>
      </c>
      <c r="P22" s="78">
        <f t="shared" si="9"/>
        <v>40333.6213199259</v>
      </c>
      <c r="Q22" s="78">
        <f t="shared" si="23"/>
        <v>9792.135135881897</v>
      </c>
      <c r="R22" s="78">
        <f t="shared" si="24"/>
        <v>44009.93163094578</v>
      </c>
      <c r="S22" s="78">
        <f t="shared" si="25"/>
        <v>23957.25531538719</v>
      </c>
      <c r="T22" s="78">
        <f t="shared" si="26"/>
        <v>24994.762756465436</v>
      </c>
      <c r="U22" s="78">
        <f t="shared" si="27"/>
        <v>1211.1491484099397</v>
      </c>
      <c r="V22" s="78">
        <f t="shared" si="28"/>
        <v>11104.899209551293</v>
      </c>
      <c r="W22" s="78">
        <f t="shared" si="29"/>
        <v>4543.26849469502</v>
      </c>
      <c r="X22" s="78">
        <f t="shared" si="22"/>
        <v>159947.02301126244</v>
      </c>
      <c r="Y22" s="78">
        <f t="shared" si="30"/>
        <v>113318.18181818182</v>
      </c>
      <c r="Z22" s="78"/>
      <c r="AA22" s="78"/>
      <c r="AB22" s="78"/>
      <c r="AC22" s="76"/>
      <c r="AD22" s="77"/>
      <c r="AE22" s="78">
        <f t="shared" si="10"/>
        <v>-839.0813199258992</v>
      </c>
      <c r="AF22" s="51">
        <f t="shared" si="11"/>
        <v>-1514.535135881897</v>
      </c>
      <c r="AG22" s="51">
        <f t="shared" si="6"/>
        <v>-1579.5916309457825</v>
      </c>
      <c r="AH22" s="51">
        <f t="shared" si="6"/>
        <v>-3582.2153153871877</v>
      </c>
      <c r="AI22" s="51">
        <f t="shared" si="6"/>
        <v>-1892.2927564654346</v>
      </c>
      <c r="AJ22" s="51">
        <f t="shared" si="6"/>
        <v>-135.46914840993963</v>
      </c>
      <c r="AK22" s="51">
        <f t="shared" si="6"/>
        <v>1697.2807904487072</v>
      </c>
      <c r="AL22" s="51">
        <f t="shared" si="6"/>
        <v>-967.4884946950201</v>
      </c>
      <c r="AM22" s="78">
        <f t="shared" si="7"/>
        <v>-8813.393011262455</v>
      </c>
      <c r="AN22" s="78">
        <f t="shared" si="12"/>
        <v>-29995.66181818176</v>
      </c>
      <c r="AO22" s="78">
        <f t="shared" si="12"/>
        <v>121948</v>
      </c>
      <c r="AP22" s="78">
        <f t="shared" si="8"/>
        <v>83138.94517055579</v>
      </c>
      <c r="AQ22" s="78">
        <f t="shared" si="13"/>
        <v>370340</v>
      </c>
      <c r="AR22" s="78">
        <f>AP22/AQ22</f>
        <v>0.22449356043245608</v>
      </c>
    </row>
    <row r="23" spans="1:44" s="60" customFormat="1" ht="12.75">
      <c r="A23" s="89">
        <f>'[1]FINAL'!$A17</f>
        <v>39645</v>
      </c>
      <c r="B23" s="51">
        <f>'[1]FINAL'!$B17</f>
        <v>37980.91</v>
      </c>
      <c r="C23" s="51">
        <f>'[1]FINAL'!C17</f>
        <v>6038.13</v>
      </c>
      <c r="D23" s="51">
        <f>'[1]FINAL'!D17</f>
        <v>41837.66</v>
      </c>
      <c r="E23" s="51">
        <f>'[1]FINAL'!E17</f>
        <v>19109.79</v>
      </c>
      <c r="F23" s="51">
        <f>'[1]FINAL'!F17</f>
        <v>18736.69</v>
      </c>
      <c r="G23" s="51">
        <f>'[1]FINAL'!G17</f>
        <v>1578.46</v>
      </c>
      <c r="H23" s="51">
        <f>'[1]FINAL'!H17</f>
        <v>10550.3</v>
      </c>
      <c r="I23" s="52">
        <f>'[2]FINAL'!I17</f>
        <v>3850.81</v>
      </c>
      <c r="J23" s="78">
        <f t="shared" si="14"/>
        <v>139682.75000000003</v>
      </c>
      <c r="K23" s="52">
        <f>'[1]FINAL'!J17</f>
        <v>64536.78999999997</v>
      </c>
      <c r="L23" s="52">
        <f>'[1]FINAL'!K17</f>
        <v>107164</v>
      </c>
      <c r="M23" s="78">
        <f t="shared" si="15"/>
        <v>311383.54000000004</v>
      </c>
      <c r="N23" s="52">
        <f>'[1]FINAL'!L17</f>
        <v>237880</v>
      </c>
      <c r="O23" s="64">
        <f t="shared" si="16"/>
        <v>1.3089941987556752</v>
      </c>
      <c r="P23" s="78">
        <f t="shared" si="9"/>
        <v>40333.6213199259</v>
      </c>
      <c r="Q23" s="78">
        <f t="shared" si="23"/>
        <v>9792.135135881897</v>
      </c>
      <c r="R23" s="78">
        <f t="shared" si="24"/>
        <v>44009.93163094578</v>
      </c>
      <c r="S23" s="78">
        <f t="shared" si="25"/>
        <v>23957.25531538719</v>
      </c>
      <c r="T23" s="78">
        <f t="shared" si="26"/>
        <v>24994.762756465436</v>
      </c>
      <c r="U23" s="78">
        <f t="shared" si="27"/>
        <v>1211.1491484099397</v>
      </c>
      <c r="V23" s="78">
        <f t="shared" si="28"/>
        <v>11104.899209551293</v>
      </c>
      <c r="W23" s="78">
        <f t="shared" si="29"/>
        <v>4543.26849469502</v>
      </c>
      <c r="X23" s="78">
        <f t="shared" si="22"/>
        <v>159947.02301126244</v>
      </c>
      <c r="Y23" s="78">
        <f t="shared" si="30"/>
        <v>113318.18181818182</v>
      </c>
      <c r="Z23" s="62"/>
      <c r="AA23" s="62"/>
      <c r="AB23" s="62"/>
      <c r="AC23" s="76"/>
      <c r="AD23" s="77"/>
      <c r="AE23" s="78">
        <f t="shared" si="10"/>
        <v>-2352.7113199258965</v>
      </c>
      <c r="AF23" s="51">
        <f t="shared" si="11"/>
        <v>-3754.0051358818973</v>
      </c>
      <c r="AG23" s="51">
        <f t="shared" si="6"/>
        <v>-2172.2716309457755</v>
      </c>
      <c r="AH23" s="51">
        <f t="shared" si="6"/>
        <v>-4847.465315387188</v>
      </c>
      <c r="AI23" s="51">
        <f t="shared" si="6"/>
        <v>-6258.072756465437</v>
      </c>
      <c r="AJ23" s="51">
        <f t="shared" si="6"/>
        <v>367.31085159006034</v>
      </c>
      <c r="AK23" s="51">
        <f t="shared" si="6"/>
        <v>-554.5992095512938</v>
      </c>
      <c r="AL23" s="51">
        <f t="shared" si="6"/>
        <v>-692.4584946950204</v>
      </c>
      <c r="AM23" s="78">
        <f aca="true" t="shared" si="31" ref="AM23:AM38">SUM(AE23:AL23)</f>
        <v>-20264.27301126245</v>
      </c>
      <c r="AN23" s="78">
        <f t="shared" si="12"/>
        <v>-48781.39181818185</v>
      </c>
      <c r="AO23" s="78">
        <f t="shared" si="12"/>
        <v>107164</v>
      </c>
      <c r="AP23" s="78">
        <f t="shared" si="8"/>
        <v>38118.3351705557</v>
      </c>
      <c r="AQ23" s="78">
        <f t="shared" si="13"/>
        <v>237880</v>
      </c>
      <c r="AR23" s="78"/>
    </row>
    <row r="24" spans="1:44" s="60" customFormat="1" ht="12.75">
      <c r="A24" s="89">
        <f>'[1]FINAL'!$A18</f>
        <v>39646</v>
      </c>
      <c r="B24" s="51">
        <f>'[1]FINAL'!$B18</f>
        <v>39296.87</v>
      </c>
      <c r="C24" s="51">
        <f>'[1]FINAL'!C18</f>
        <v>5416.82</v>
      </c>
      <c r="D24" s="51">
        <f>'[1]FINAL'!D18</f>
        <v>38836.87</v>
      </c>
      <c r="E24" s="51">
        <f>'[1]FINAL'!E18</f>
        <v>16985.35</v>
      </c>
      <c r="F24" s="51">
        <f>'[1]FINAL'!F18</f>
        <v>20260.41</v>
      </c>
      <c r="G24" s="51">
        <f>'[1]FINAL'!G18</f>
        <v>1075.7</v>
      </c>
      <c r="H24" s="51">
        <f>'[1]FINAL'!H18</f>
        <v>10386.66</v>
      </c>
      <c r="I24" s="52">
        <f>'[2]FINAL'!I18</f>
        <v>4450.89</v>
      </c>
      <c r="J24" s="78">
        <f t="shared" si="14"/>
        <v>136709.57</v>
      </c>
      <c r="K24" s="52">
        <f>'[1]FINAL'!J18</f>
        <v>77906.53999999994</v>
      </c>
      <c r="L24" s="52">
        <f>'[1]FINAL'!K18</f>
        <v>135096</v>
      </c>
      <c r="M24" s="78">
        <f t="shared" si="15"/>
        <v>349712.1099999999</v>
      </c>
      <c r="N24" s="52">
        <f>'[1]FINAL'!L18</f>
        <v>330818</v>
      </c>
      <c r="O24" s="64">
        <f t="shared" si="16"/>
        <v>1.057113307014733</v>
      </c>
      <c r="P24" s="78">
        <f t="shared" si="9"/>
        <v>40333.6213199259</v>
      </c>
      <c r="Q24" s="78">
        <f t="shared" si="23"/>
        <v>9792.135135881897</v>
      </c>
      <c r="R24" s="78">
        <f t="shared" si="24"/>
        <v>44009.93163094578</v>
      </c>
      <c r="S24" s="78">
        <f t="shared" si="25"/>
        <v>23957.25531538719</v>
      </c>
      <c r="T24" s="78">
        <f t="shared" si="26"/>
        <v>24994.762756465436</v>
      </c>
      <c r="U24" s="78">
        <f t="shared" si="27"/>
        <v>1211.1491484099397</v>
      </c>
      <c r="V24" s="78">
        <f t="shared" si="28"/>
        <v>11104.899209551293</v>
      </c>
      <c r="W24" s="78">
        <f t="shared" si="29"/>
        <v>4543.26849469502</v>
      </c>
      <c r="X24" s="78">
        <f t="shared" si="22"/>
        <v>159947.02301126244</v>
      </c>
      <c r="Y24" s="78">
        <f t="shared" si="30"/>
        <v>113318.18181818182</v>
      </c>
      <c r="Z24" s="78">
        <f>$Z$3/$X$5</f>
        <v>93272.72727272728</v>
      </c>
      <c r="AA24" s="78">
        <f>SUM(X24:Z24)</f>
        <v>366537.9321021716</v>
      </c>
      <c r="AB24" s="78">
        <f>$AB$3/$X$5</f>
        <v>400954.54545454547</v>
      </c>
      <c r="AC24" s="76">
        <f>AA24/AB24</f>
        <v>0.9141633041886152</v>
      </c>
      <c r="AD24" s="77"/>
      <c r="AE24" s="78">
        <f t="shared" si="10"/>
        <v>-1036.7513199258974</v>
      </c>
      <c r="AF24" s="51">
        <f t="shared" si="11"/>
        <v>-4375.315135881898</v>
      </c>
      <c r="AG24" s="51">
        <f t="shared" si="11"/>
        <v>-5173.061630945776</v>
      </c>
      <c r="AH24" s="51">
        <f t="shared" si="11"/>
        <v>-6971.90531538719</v>
      </c>
      <c r="AI24" s="51">
        <f t="shared" si="11"/>
        <v>-4734.352756465436</v>
      </c>
      <c r="AJ24" s="51">
        <f t="shared" si="11"/>
        <v>-135.44914840993965</v>
      </c>
      <c r="AK24" s="51">
        <f t="shared" si="11"/>
        <v>-718.2392095512932</v>
      </c>
      <c r="AL24" s="51">
        <f t="shared" si="11"/>
        <v>-92.37849469501998</v>
      </c>
      <c r="AM24" s="78">
        <f t="shared" si="31"/>
        <v>-23237.45301126245</v>
      </c>
      <c r="AN24" s="78">
        <f t="shared" si="12"/>
        <v>-35411.64181818189</v>
      </c>
      <c r="AO24" s="78">
        <f t="shared" si="12"/>
        <v>41823.27272727272</v>
      </c>
      <c r="AP24" s="78">
        <f t="shared" si="8"/>
        <v>-16825.822102171616</v>
      </c>
      <c r="AQ24" s="78">
        <f t="shared" si="13"/>
        <v>-70136.54545454547</v>
      </c>
      <c r="AR24" s="78"/>
    </row>
    <row r="25" spans="1:44" s="60" customFormat="1" ht="12.75">
      <c r="A25" s="89">
        <f>'[1]FINAL'!$A19</f>
        <v>39647</v>
      </c>
      <c r="B25" s="51">
        <f>'[1]FINAL'!$B19</f>
        <v>39786.49</v>
      </c>
      <c r="C25" s="51">
        <f>'[1]FINAL'!C19</f>
        <v>5979.55</v>
      </c>
      <c r="D25" s="51">
        <f>'[1]FINAL'!D19</f>
        <v>35290.78</v>
      </c>
      <c r="E25" s="51">
        <f>'[1]FINAL'!E19</f>
        <v>17108.49</v>
      </c>
      <c r="F25" s="51">
        <f>'[1]FINAL'!F19</f>
        <v>17809.49</v>
      </c>
      <c r="G25" s="51">
        <f>'[1]FINAL'!G19</f>
        <v>1087.35</v>
      </c>
      <c r="H25" s="51">
        <f>'[1]FINAL'!H19</f>
        <v>10184.07</v>
      </c>
      <c r="I25" s="52">
        <f>'[2]FINAL'!I19</f>
        <v>4184.14</v>
      </c>
      <c r="J25" s="78">
        <f t="shared" si="14"/>
        <v>131430.36000000004</v>
      </c>
      <c r="K25" s="52">
        <f>'[1]FINAL'!J19</f>
        <v>78741.92999999998</v>
      </c>
      <c r="L25" s="52">
        <f>'[1]FINAL'!K19</f>
        <v>105993</v>
      </c>
      <c r="M25" s="78">
        <f t="shared" si="15"/>
        <v>316165.29000000004</v>
      </c>
      <c r="N25" s="52">
        <f>'[1]FINAL'!L19</f>
        <v>348336</v>
      </c>
      <c r="O25" s="64">
        <f t="shared" si="16"/>
        <v>0.9076446017638143</v>
      </c>
      <c r="P25" s="78">
        <f t="shared" si="9"/>
        <v>40333.6213199259</v>
      </c>
      <c r="Q25" s="78">
        <f t="shared" si="23"/>
        <v>9792.135135881897</v>
      </c>
      <c r="R25" s="78">
        <f t="shared" si="24"/>
        <v>44009.93163094578</v>
      </c>
      <c r="S25" s="78">
        <f t="shared" si="25"/>
        <v>23957.25531538719</v>
      </c>
      <c r="T25" s="78">
        <f t="shared" si="26"/>
        <v>24994.762756465436</v>
      </c>
      <c r="U25" s="78">
        <f t="shared" si="27"/>
        <v>1211.1491484099397</v>
      </c>
      <c r="V25" s="78">
        <f t="shared" si="28"/>
        <v>11104.899209551293</v>
      </c>
      <c r="W25" s="78">
        <f t="shared" si="29"/>
        <v>4543.26849469502</v>
      </c>
      <c r="X25" s="78">
        <f t="shared" si="22"/>
        <v>159947.02301126244</v>
      </c>
      <c r="Y25" s="78">
        <f t="shared" si="30"/>
        <v>113318.18181818182</v>
      </c>
      <c r="Z25" s="78">
        <f>$Z$3/$X$5</f>
        <v>93272.72727272728</v>
      </c>
      <c r="AA25" s="78">
        <f>SUM(X25:Z25)</f>
        <v>366537.9321021716</v>
      </c>
      <c r="AB25" s="78">
        <f>$AB$3/$X$5</f>
        <v>400954.54545454547</v>
      </c>
      <c r="AC25" s="76">
        <f>AA25/AB25</f>
        <v>0.9141633041886152</v>
      </c>
      <c r="AD25" s="77"/>
      <c r="AE25" s="78">
        <f t="shared" si="10"/>
        <v>-547.1313199259021</v>
      </c>
      <c r="AF25" s="51">
        <f t="shared" si="11"/>
        <v>-3812.5851358818973</v>
      </c>
      <c r="AG25" s="51">
        <f t="shared" si="11"/>
        <v>-8719.15163094578</v>
      </c>
      <c r="AH25" s="51">
        <f t="shared" si="11"/>
        <v>-6848.765315387187</v>
      </c>
      <c r="AI25" s="51">
        <f t="shared" si="11"/>
        <v>-7185.272756465434</v>
      </c>
      <c r="AJ25" s="51">
        <f t="shared" si="11"/>
        <v>-123.79914840993979</v>
      </c>
      <c r="AK25" s="51">
        <f t="shared" si="11"/>
        <v>-920.8292095512934</v>
      </c>
      <c r="AL25" s="51">
        <f t="shared" si="11"/>
        <v>-359.12849469502</v>
      </c>
      <c r="AM25" s="78">
        <f t="shared" si="31"/>
        <v>-28516.663011262455</v>
      </c>
      <c r="AN25" s="78">
        <f t="shared" si="12"/>
        <v>-34576.251818181845</v>
      </c>
      <c r="AO25" s="78">
        <f t="shared" si="12"/>
        <v>12720.27272727272</v>
      </c>
      <c r="AP25" s="78">
        <f t="shared" si="8"/>
        <v>-50372.64210217158</v>
      </c>
      <c r="AQ25" s="78">
        <f t="shared" si="13"/>
        <v>-52618.54545454547</v>
      </c>
      <c r="AR25" s="78">
        <f>AP25/AQ25</f>
        <v>0.9573172665079841</v>
      </c>
    </row>
    <row r="26" spans="1:44" s="206" customFormat="1" ht="12.75">
      <c r="A26" s="199">
        <f>'[1]FINAL'!$A20</f>
        <v>39648</v>
      </c>
      <c r="B26" s="200">
        <f>'[1]FINAL'!$B20</f>
        <v>9573.97</v>
      </c>
      <c r="C26" s="200">
        <f>'[1]FINAL'!C20</f>
        <v>8371.33</v>
      </c>
      <c r="D26" s="200">
        <f>'[1]FINAL'!D20</f>
        <v>8015.47</v>
      </c>
      <c r="E26" s="200">
        <f>'[1]FINAL'!E20</f>
        <v>7368.86</v>
      </c>
      <c r="F26" s="200">
        <f>'[1]FINAL'!F20</f>
        <v>8589.66</v>
      </c>
      <c r="G26" s="200">
        <f>'[1]FINAL'!G20</f>
        <v>403.39</v>
      </c>
      <c r="H26" s="200">
        <f>'[1]FINAL'!H20</f>
        <v>1511.61</v>
      </c>
      <c r="I26" s="201">
        <f>'[2]FINAL'!I20</f>
        <v>1508.61</v>
      </c>
      <c r="J26" s="202">
        <f t="shared" si="14"/>
        <v>45342.899999999994</v>
      </c>
      <c r="K26" s="201">
        <f>'[1]FINAL'!J20</f>
        <v>34011.4</v>
      </c>
      <c r="L26" s="201">
        <f>'[1]FINAL'!K20</f>
        <v>11166</v>
      </c>
      <c r="M26" s="202">
        <f t="shared" si="15"/>
        <v>90520.29999999999</v>
      </c>
      <c r="N26" s="201">
        <f>'[1]FINAL'!L20</f>
        <v>32645</v>
      </c>
      <c r="O26" s="203">
        <f t="shared" si="16"/>
        <v>2.772868739470056</v>
      </c>
      <c r="P26" s="202">
        <f t="shared" si="9"/>
        <v>40333.6213199259</v>
      </c>
      <c r="Q26" s="202">
        <f t="shared" si="23"/>
        <v>9792.135135881897</v>
      </c>
      <c r="R26" s="202">
        <f t="shared" si="24"/>
        <v>44009.93163094578</v>
      </c>
      <c r="S26" s="202">
        <f t="shared" si="25"/>
        <v>23957.25531538719</v>
      </c>
      <c r="T26" s="202">
        <f t="shared" si="26"/>
        <v>24994.762756465436</v>
      </c>
      <c r="U26" s="202">
        <f t="shared" si="27"/>
        <v>1211.1491484099397</v>
      </c>
      <c r="V26" s="202">
        <f t="shared" si="28"/>
        <v>11104.899209551293</v>
      </c>
      <c r="W26" s="202">
        <f t="shared" si="29"/>
        <v>4543.26849469502</v>
      </c>
      <c r="X26" s="202">
        <f t="shared" si="22"/>
        <v>159947.02301126244</v>
      </c>
      <c r="Y26" s="202">
        <f t="shared" si="30"/>
        <v>113318.18181818182</v>
      </c>
      <c r="Z26" s="202">
        <f>$Z$3/$X$5</f>
        <v>93272.72727272728</v>
      </c>
      <c r="AA26" s="202">
        <f>SUM(X26:Z26)</f>
        <v>366537.9321021716</v>
      </c>
      <c r="AB26" s="202">
        <f>$AB$3/$X$5</f>
        <v>400954.54545454547</v>
      </c>
      <c r="AC26" s="204">
        <f>AA26/AB26</f>
        <v>0.9141633041886152</v>
      </c>
      <c r="AD26" s="205"/>
      <c r="AE26" s="202">
        <f t="shared" si="10"/>
        <v>-30759.6513199259</v>
      </c>
      <c r="AF26" s="200">
        <f t="shared" si="11"/>
        <v>-1420.8051358818975</v>
      </c>
      <c r="AG26" s="200">
        <f t="shared" si="11"/>
        <v>-35994.46163094578</v>
      </c>
      <c r="AH26" s="200">
        <f t="shared" si="11"/>
        <v>-16588.395315387188</v>
      </c>
      <c r="AI26" s="200">
        <f t="shared" si="11"/>
        <v>-16405.102756465436</v>
      </c>
      <c r="AJ26" s="200">
        <f t="shared" si="11"/>
        <v>-807.7591484099397</v>
      </c>
      <c r="AK26" s="200">
        <f t="shared" si="11"/>
        <v>-9593.289209551293</v>
      </c>
      <c r="AL26" s="200">
        <f t="shared" si="11"/>
        <v>-3034.6584946950206</v>
      </c>
      <c r="AM26" s="202">
        <f t="shared" si="31"/>
        <v>-114604.12301126245</v>
      </c>
      <c r="AN26" s="202">
        <f t="shared" si="12"/>
        <v>-79306.78181818183</v>
      </c>
      <c r="AO26" s="202">
        <f t="shared" si="12"/>
        <v>-82106.72727272728</v>
      </c>
      <c r="AP26" s="202">
        <f t="shared" si="8"/>
        <v>-276017.63210217154</v>
      </c>
      <c r="AQ26" s="202">
        <f t="shared" si="13"/>
        <v>-368309.54545454547</v>
      </c>
      <c r="AR26" s="202">
        <f>AP26/AQ26</f>
        <v>0.7494175361692763</v>
      </c>
    </row>
    <row r="27" spans="1:44" s="206" customFormat="1" ht="12.75">
      <c r="A27" s="199">
        <f>'[1]FINAL'!$A21</f>
        <v>39649</v>
      </c>
      <c r="B27" s="200">
        <f>'[1]FINAL'!$B21</f>
        <v>8544.23</v>
      </c>
      <c r="C27" s="200">
        <f>'[1]FINAL'!C21</f>
        <v>8054.75</v>
      </c>
      <c r="D27" s="200">
        <f>'[1]FINAL'!D21</f>
        <v>10310.67</v>
      </c>
      <c r="E27" s="200">
        <f>'[1]FINAL'!E21</f>
        <v>5956.74</v>
      </c>
      <c r="F27" s="200">
        <f>'[1]FINAL'!F21</f>
        <v>7135.27</v>
      </c>
      <c r="G27" s="200">
        <f>'[1]FINAL'!G21</f>
        <v>415.06</v>
      </c>
      <c r="H27" s="200">
        <f>'[1]FINAL'!H21</f>
        <v>1114.24</v>
      </c>
      <c r="I27" s="201">
        <f>'[2]FINAL'!I21</f>
        <v>0</v>
      </c>
      <c r="J27" s="202">
        <f t="shared" si="14"/>
        <v>41530.96</v>
      </c>
      <c r="K27" s="201">
        <f>'[1]FINAL'!J21</f>
        <v>23188.91</v>
      </c>
      <c r="L27" s="201">
        <f>'[1]FINAL'!K21</f>
        <v>14754</v>
      </c>
      <c r="M27" s="202">
        <f t="shared" si="15"/>
        <v>79473.87</v>
      </c>
      <c r="N27" s="201">
        <f>'[1]FINAL'!L21</f>
        <v>0</v>
      </c>
      <c r="O27" s="203" t="e">
        <f t="shared" si="16"/>
        <v>#DIV/0!</v>
      </c>
      <c r="P27" s="202">
        <f t="shared" si="9"/>
        <v>40333.6213199259</v>
      </c>
      <c r="Q27" s="202">
        <f t="shared" si="23"/>
        <v>9792.135135881897</v>
      </c>
      <c r="R27" s="202">
        <f t="shared" si="24"/>
        <v>44009.93163094578</v>
      </c>
      <c r="S27" s="202">
        <f t="shared" si="25"/>
        <v>23957.25531538719</v>
      </c>
      <c r="T27" s="202">
        <f t="shared" si="26"/>
        <v>24994.762756465436</v>
      </c>
      <c r="U27" s="202">
        <f t="shared" si="27"/>
        <v>1211.1491484099397</v>
      </c>
      <c r="V27" s="202">
        <f t="shared" si="28"/>
        <v>11104.899209551293</v>
      </c>
      <c r="W27" s="202">
        <f t="shared" si="29"/>
        <v>4543.26849469502</v>
      </c>
      <c r="X27" s="202">
        <f t="shared" si="22"/>
        <v>159947.02301126244</v>
      </c>
      <c r="Y27" s="202">
        <f t="shared" si="30"/>
        <v>113318.18181818182</v>
      </c>
      <c r="Z27" s="202">
        <f>$Z$3/$X$5</f>
        <v>93272.72727272728</v>
      </c>
      <c r="AA27" s="202">
        <f>SUM(X27:Z27)</f>
        <v>366537.9321021716</v>
      </c>
      <c r="AB27" s="202">
        <f>$AB$3/$X$5</f>
        <v>400954.54545454547</v>
      </c>
      <c r="AC27" s="204">
        <f>AA27/AB27</f>
        <v>0.9141633041886152</v>
      </c>
      <c r="AD27" s="205"/>
      <c r="AE27" s="202">
        <f t="shared" si="10"/>
        <v>-31789.3913199259</v>
      </c>
      <c r="AF27" s="200">
        <f t="shared" si="11"/>
        <v>-1737.3851358818974</v>
      </c>
      <c r="AG27" s="200">
        <f t="shared" si="11"/>
        <v>-33699.26163094578</v>
      </c>
      <c r="AH27" s="200">
        <f t="shared" si="11"/>
        <v>-18000.515315387187</v>
      </c>
      <c r="AI27" s="200">
        <f t="shared" si="11"/>
        <v>-17859.492756465435</v>
      </c>
      <c r="AJ27" s="200">
        <f t="shared" si="11"/>
        <v>-796.0891484099398</v>
      </c>
      <c r="AK27" s="200">
        <f t="shared" si="11"/>
        <v>-9990.659209551293</v>
      </c>
      <c r="AL27" s="200">
        <f t="shared" si="11"/>
        <v>-4543.26849469502</v>
      </c>
      <c r="AM27" s="202">
        <f t="shared" si="31"/>
        <v>-118416.06301126245</v>
      </c>
      <c r="AN27" s="202">
        <f t="shared" si="12"/>
        <v>-90129.27181818182</v>
      </c>
      <c r="AO27" s="202">
        <f t="shared" si="12"/>
        <v>-78518.72727272728</v>
      </c>
      <c r="AP27" s="202">
        <f t="shared" si="8"/>
        <v>-287064.06210217153</v>
      </c>
      <c r="AQ27" s="202">
        <f t="shared" si="13"/>
        <v>-400954.54545454547</v>
      </c>
      <c r="AR27" s="202">
        <f>AP27/AQ27</f>
        <v>0.7159516343099165</v>
      </c>
    </row>
    <row r="28" spans="1:44" s="60" customFormat="1" ht="12.75">
      <c r="A28" s="89">
        <f>'[1]FINAL'!$A22</f>
        <v>39650</v>
      </c>
      <c r="B28" s="51">
        <f>'[1]FINAL'!$B22</f>
        <v>36410.1</v>
      </c>
      <c r="C28" s="51">
        <f>'[1]FINAL'!C22</f>
        <v>6872.24</v>
      </c>
      <c r="D28" s="51">
        <f>'[1]FINAL'!D22</f>
        <v>39221.38</v>
      </c>
      <c r="E28" s="51">
        <f>'[1]FINAL'!E22</f>
        <v>18678.83</v>
      </c>
      <c r="F28" s="51">
        <f>'[1]FINAL'!F22</f>
        <v>20875.17</v>
      </c>
      <c r="G28" s="51">
        <f>'[1]FINAL'!G22</f>
        <v>922.05</v>
      </c>
      <c r="H28" s="51">
        <f>'[1]FINAL'!H22</f>
        <v>12661.46</v>
      </c>
      <c r="I28" s="52">
        <f>'[2]FINAL'!I22</f>
        <v>4215.69</v>
      </c>
      <c r="J28" s="78">
        <f t="shared" si="14"/>
        <v>139856.92</v>
      </c>
      <c r="K28" s="52">
        <f>'[1]FINAL'!J22</f>
        <v>70558.59000000004</v>
      </c>
      <c r="L28" s="52">
        <f>'[1]FINAL'!K22</f>
        <v>104853</v>
      </c>
      <c r="M28" s="78">
        <f t="shared" si="15"/>
        <v>315268.51000000007</v>
      </c>
      <c r="N28" s="52">
        <f>'[1]FINAL'!L22</f>
        <v>377084</v>
      </c>
      <c r="O28" s="64">
        <f t="shared" si="16"/>
        <v>0.8360697086060402</v>
      </c>
      <c r="P28" s="78">
        <f t="shared" si="9"/>
        <v>40333.6213199259</v>
      </c>
      <c r="Q28" s="78">
        <f t="shared" si="23"/>
        <v>9792.135135881897</v>
      </c>
      <c r="R28" s="78">
        <f t="shared" si="24"/>
        <v>44009.93163094578</v>
      </c>
      <c r="S28" s="78">
        <f t="shared" si="25"/>
        <v>23957.25531538719</v>
      </c>
      <c r="T28" s="78">
        <f t="shared" si="26"/>
        <v>24994.762756465436</v>
      </c>
      <c r="U28" s="78">
        <f t="shared" si="27"/>
        <v>1211.1491484099397</v>
      </c>
      <c r="V28" s="78">
        <f t="shared" si="28"/>
        <v>11104.899209551293</v>
      </c>
      <c r="W28" s="78">
        <f t="shared" si="29"/>
        <v>4543.26849469502</v>
      </c>
      <c r="X28" s="78">
        <f t="shared" si="22"/>
        <v>159947.02301126244</v>
      </c>
      <c r="Y28" s="78"/>
      <c r="Z28" s="78"/>
      <c r="AA28" s="78">
        <f>SUM(X28:Z28)</f>
        <v>159947.02301126244</v>
      </c>
      <c r="AB28" s="78"/>
      <c r="AC28" s="76"/>
      <c r="AD28" s="77"/>
      <c r="AE28" s="78">
        <f t="shared" si="10"/>
        <v>-3923.5213199259015</v>
      </c>
      <c r="AF28" s="51">
        <f t="shared" si="11"/>
        <v>-2919.8951358818977</v>
      </c>
      <c r="AG28" s="51">
        <f t="shared" si="11"/>
        <v>-4788.551630945782</v>
      </c>
      <c r="AH28" s="51">
        <f t="shared" si="11"/>
        <v>-5278.425315387187</v>
      </c>
      <c r="AI28" s="51">
        <f t="shared" si="11"/>
        <v>-4119.592756465438</v>
      </c>
      <c r="AJ28" s="51">
        <f t="shared" si="11"/>
        <v>-289.09914840993974</v>
      </c>
      <c r="AK28" s="51">
        <f t="shared" si="11"/>
        <v>1556.560790448706</v>
      </c>
      <c r="AL28" s="51">
        <f t="shared" si="11"/>
        <v>-327.5784946950207</v>
      </c>
      <c r="AM28" s="78">
        <f t="shared" si="31"/>
        <v>-20090.103011262465</v>
      </c>
      <c r="AN28" s="78">
        <f t="shared" si="12"/>
        <v>70558.59000000004</v>
      </c>
      <c r="AO28" s="78">
        <f t="shared" si="12"/>
        <v>104853</v>
      </c>
      <c r="AP28" s="78">
        <f t="shared" si="8"/>
        <v>155321.48698873757</v>
      </c>
      <c r="AQ28" s="78">
        <f t="shared" si="13"/>
        <v>377084</v>
      </c>
      <c r="AR28" s="78">
        <f>AP28/AQ28</f>
        <v>0.41190155771323517</v>
      </c>
    </row>
    <row r="29" spans="1:44" s="60" customFormat="1" ht="12.75">
      <c r="A29" s="89">
        <f>'[1]FINAL'!$A23</f>
        <v>39651</v>
      </c>
      <c r="B29" s="51">
        <f>'[1]FINAL'!$B23</f>
        <v>36644.8</v>
      </c>
      <c r="C29" s="51">
        <f>'[1]FINAL'!C23</f>
        <v>7987.98</v>
      </c>
      <c r="D29" s="51">
        <f>'[1]FINAL'!D23</f>
        <v>51140.16</v>
      </c>
      <c r="E29" s="51">
        <f>'[1]FINAL'!E23</f>
        <v>21075.86</v>
      </c>
      <c r="F29" s="51">
        <f>'[1]FINAL'!F23</f>
        <v>26367.94</v>
      </c>
      <c r="G29" s="51">
        <f>'[1]FINAL'!G23</f>
        <v>1000.71</v>
      </c>
      <c r="H29" s="51">
        <f>'[1]FINAL'!H23</f>
        <v>9970.09</v>
      </c>
      <c r="I29" s="52">
        <f>'[2]FINAL'!I23</f>
        <v>5210.14</v>
      </c>
      <c r="J29" s="78">
        <f t="shared" si="14"/>
        <v>159397.68</v>
      </c>
      <c r="K29" s="52">
        <f>'[1]FINAL'!J23</f>
        <v>78324.63000000003</v>
      </c>
      <c r="L29" s="52">
        <f>'[1]FINAL'!K23</f>
        <v>135874</v>
      </c>
      <c r="M29" s="78">
        <f t="shared" si="15"/>
        <v>373596.31000000006</v>
      </c>
      <c r="N29" s="52">
        <f>'[1]FINAL'!L23</f>
        <v>404363</v>
      </c>
      <c r="O29" s="64">
        <f t="shared" si="16"/>
        <v>0.9239131918597895</v>
      </c>
      <c r="P29" s="78">
        <f t="shared" si="9"/>
        <v>40333.6213199259</v>
      </c>
      <c r="Q29" s="78">
        <f t="shared" si="23"/>
        <v>9792.135135881897</v>
      </c>
      <c r="R29" s="78">
        <f t="shared" si="24"/>
        <v>44009.93163094578</v>
      </c>
      <c r="S29" s="78">
        <f t="shared" si="25"/>
        <v>23957.25531538719</v>
      </c>
      <c r="T29" s="78">
        <f t="shared" si="26"/>
        <v>24994.762756465436</v>
      </c>
      <c r="U29" s="78">
        <f t="shared" si="27"/>
        <v>1211.1491484099397</v>
      </c>
      <c r="V29" s="78">
        <f t="shared" si="28"/>
        <v>11104.899209551293</v>
      </c>
      <c r="W29" s="78">
        <f t="shared" si="29"/>
        <v>4543.26849469502</v>
      </c>
      <c r="X29" s="78">
        <f aca="true" t="shared" si="32" ref="X29:X36">SUM(P29:W29)</f>
        <v>159947.02301126244</v>
      </c>
      <c r="Y29" s="78"/>
      <c r="Z29" s="78"/>
      <c r="AA29" s="78"/>
      <c r="AB29" s="78"/>
      <c r="AC29" s="76"/>
      <c r="AD29" s="77"/>
      <c r="AE29" s="78">
        <f t="shared" si="10"/>
        <v>-3688.821319925897</v>
      </c>
      <c r="AF29" s="51">
        <f t="shared" si="11"/>
        <v>-1804.1551358818979</v>
      </c>
      <c r="AG29" s="51">
        <f t="shared" si="11"/>
        <v>7130.2283690542245</v>
      </c>
      <c r="AH29" s="51">
        <f t="shared" si="11"/>
        <v>-2881.395315387188</v>
      </c>
      <c r="AI29" s="51">
        <f t="shared" si="11"/>
        <v>1373.1772435345629</v>
      </c>
      <c r="AJ29" s="51">
        <f t="shared" si="11"/>
        <v>-210.43914840993966</v>
      </c>
      <c r="AK29" s="51">
        <f t="shared" si="11"/>
        <v>-1134.809209551293</v>
      </c>
      <c r="AL29" s="51">
        <f t="shared" si="11"/>
        <v>666.87150530498</v>
      </c>
      <c r="AM29" s="78">
        <f t="shared" si="31"/>
        <v>-549.3430112624483</v>
      </c>
      <c r="AN29" s="78">
        <f t="shared" si="12"/>
        <v>78324.63000000003</v>
      </c>
      <c r="AO29" s="78">
        <f t="shared" si="12"/>
        <v>135874</v>
      </c>
      <c r="AP29" s="78">
        <f t="shared" si="8"/>
        <v>213649.2869887376</v>
      </c>
      <c r="AQ29" s="78">
        <f t="shared" si="13"/>
        <v>404363</v>
      </c>
      <c r="AR29" s="78"/>
    </row>
    <row r="30" spans="1:44" s="60" customFormat="1" ht="12.75">
      <c r="A30" s="89">
        <f>'[1]FINAL'!$A24</f>
        <v>0</v>
      </c>
      <c r="B30" s="51">
        <f>'[1]FINAL'!$B24</f>
        <v>0</v>
      </c>
      <c r="C30" s="51">
        <f>'[1]FINAL'!C24</f>
        <v>0</v>
      </c>
      <c r="D30" s="51">
        <f>'[1]FINAL'!D24</f>
        <v>0</v>
      </c>
      <c r="E30" s="51">
        <f>'[1]FINAL'!E24</f>
        <v>0</v>
      </c>
      <c r="F30" s="51">
        <f>'[1]FINAL'!F24</f>
        <v>0</v>
      </c>
      <c r="G30" s="51">
        <f>'[1]FINAL'!G24</f>
        <v>0</v>
      </c>
      <c r="H30" s="51">
        <f>'[1]FINAL'!H24</f>
        <v>0</v>
      </c>
      <c r="I30" s="52">
        <f>'[2]FINAL'!I24</f>
        <v>0</v>
      </c>
      <c r="J30" s="78">
        <f t="shared" si="14"/>
        <v>0</v>
      </c>
      <c r="K30" s="52">
        <f>'[1]FINAL'!J24</f>
        <v>0</v>
      </c>
      <c r="L30" s="52">
        <f>'[1]FINAL'!K24</f>
        <v>0</v>
      </c>
      <c r="M30" s="78">
        <f t="shared" si="15"/>
        <v>0</v>
      </c>
      <c r="N30" s="52">
        <f>'[1]FINAL'!L24</f>
        <v>0</v>
      </c>
      <c r="O30" s="64" t="e">
        <f t="shared" si="16"/>
        <v>#DIV/0!</v>
      </c>
      <c r="P30" s="78">
        <f t="shared" si="9"/>
        <v>40333.6213199259</v>
      </c>
      <c r="Q30" s="78">
        <f t="shared" si="23"/>
        <v>9792.135135881897</v>
      </c>
      <c r="R30" s="78">
        <f t="shared" si="24"/>
        <v>44009.93163094578</v>
      </c>
      <c r="S30" s="78">
        <f t="shared" si="25"/>
        <v>23957.25531538719</v>
      </c>
      <c r="T30" s="78">
        <f t="shared" si="26"/>
        <v>24994.762756465436</v>
      </c>
      <c r="U30" s="78">
        <f t="shared" si="27"/>
        <v>1211.1491484099397</v>
      </c>
      <c r="V30" s="78">
        <f t="shared" si="28"/>
        <v>11104.899209551293</v>
      </c>
      <c r="W30" s="78">
        <f t="shared" si="29"/>
        <v>4543.26849469502</v>
      </c>
      <c r="X30" s="78">
        <f t="shared" si="32"/>
        <v>159947.02301126244</v>
      </c>
      <c r="Y30" s="62"/>
      <c r="Z30" s="62"/>
      <c r="AA30" s="62"/>
      <c r="AB30" s="62"/>
      <c r="AC30" s="76"/>
      <c r="AD30" s="77"/>
      <c r="AE30" s="78">
        <f t="shared" si="10"/>
        <v>-40333.6213199259</v>
      </c>
      <c r="AF30" s="51">
        <f t="shared" si="11"/>
        <v>-9792.135135881897</v>
      </c>
      <c r="AG30" s="51">
        <f t="shared" si="11"/>
        <v>-44009.93163094578</v>
      </c>
      <c r="AH30" s="51">
        <f t="shared" si="11"/>
        <v>-23957.25531538719</v>
      </c>
      <c r="AI30" s="51">
        <f t="shared" si="11"/>
        <v>-24994.762756465436</v>
      </c>
      <c r="AJ30" s="51">
        <f t="shared" si="11"/>
        <v>-1211.1491484099397</v>
      </c>
      <c r="AK30" s="51">
        <f t="shared" si="11"/>
        <v>-11104.899209551293</v>
      </c>
      <c r="AL30" s="51">
        <f t="shared" si="11"/>
        <v>-4543.26849469502</v>
      </c>
      <c r="AM30" s="78">
        <f t="shared" si="31"/>
        <v>-159947.02301126244</v>
      </c>
      <c r="AN30" s="78">
        <f t="shared" si="12"/>
        <v>0</v>
      </c>
      <c r="AO30" s="78">
        <f t="shared" si="12"/>
        <v>0</v>
      </c>
      <c r="AP30" s="78">
        <f t="shared" si="8"/>
        <v>-159947.02301126244</v>
      </c>
      <c r="AQ30" s="78">
        <f t="shared" si="13"/>
        <v>0</v>
      </c>
      <c r="AR30" s="78"/>
    </row>
    <row r="31" spans="1:44" s="60" customFormat="1" ht="12.75">
      <c r="A31" s="89">
        <f>'[1]FINAL'!$A25</f>
        <v>0</v>
      </c>
      <c r="B31" s="51">
        <f>'[1]FINAL'!$B25</f>
        <v>0</v>
      </c>
      <c r="C31" s="51">
        <f>'[1]FINAL'!C25</f>
        <v>0</v>
      </c>
      <c r="D31" s="51">
        <f>'[1]FINAL'!D25</f>
        <v>0</v>
      </c>
      <c r="E31" s="51">
        <f>'[1]FINAL'!E25</f>
        <v>0</v>
      </c>
      <c r="F31" s="51">
        <f>'[1]FINAL'!F25</f>
        <v>0</v>
      </c>
      <c r="G31" s="51">
        <f>'[1]FINAL'!G25</f>
        <v>0</v>
      </c>
      <c r="H31" s="51">
        <f>'[1]FINAL'!H25</f>
        <v>0</v>
      </c>
      <c r="I31" s="52">
        <f>'[2]FINAL'!I25</f>
        <v>0</v>
      </c>
      <c r="J31" s="78">
        <f t="shared" si="14"/>
        <v>0</v>
      </c>
      <c r="K31" s="52">
        <f>'[1]FINAL'!J25</f>
        <v>0</v>
      </c>
      <c r="L31" s="52">
        <f>'[1]FINAL'!K25</f>
        <v>0</v>
      </c>
      <c r="M31" s="78">
        <f t="shared" si="15"/>
        <v>0</v>
      </c>
      <c r="N31" s="52">
        <f>'[1]FINAL'!L25</f>
        <v>0</v>
      </c>
      <c r="O31" s="64" t="e">
        <f t="shared" si="16"/>
        <v>#DIV/0!</v>
      </c>
      <c r="P31" s="78">
        <f aca="true" t="shared" si="33" ref="P31:P36">$X$3/$X$5*($P$1/$X$1)</f>
        <v>40333.6213199259</v>
      </c>
      <c r="Q31" s="78">
        <f aca="true" t="shared" si="34" ref="Q31:Q36">$X$3/$X$5*($Q$1/$X$1)</f>
        <v>9792.135135881897</v>
      </c>
      <c r="R31" s="78">
        <f aca="true" t="shared" si="35" ref="R31:R36">$X$3/$X$5*($R$1/$X$1)</f>
        <v>44009.93163094578</v>
      </c>
      <c r="S31" s="78">
        <f aca="true" t="shared" si="36" ref="S31:S36">$X$3/$X$5*($S$1/$X$1)</f>
        <v>23957.25531538719</v>
      </c>
      <c r="T31" s="78">
        <f aca="true" t="shared" si="37" ref="T31:T36">$X$3/$X$5*($T$1/$X$1)</f>
        <v>24994.762756465436</v>
      </c>
      <c r="U31" s="78">
        <f aca="true" t="shared" si="38" ref="U31:U36">$X$3/$X$5*($U$1/$X$1)</f>
        <v>1211.1491484099397</v>
      </c>
      <c r="V31" s="78">
        <f aca="true" t="shared" si="39" ref="V31:V36">$X$3/$X$5*($V$1/$X$1)</f>
        <v>11104.899209551293</v>
      </c>
      <c r="W31" s="78">
        <f aca="true" t="shared" si="40" ref="W31:W36">$X$3/$X$5*($W$1/$X$1)</f>
        <v>4543.26849469502</v>
      </c>
      <c r="X31" s="78">
        <f t="shared" si="32"/>
        <v>159947.02301126244</v>
      </c>
      <c r="Y31" s="78">
        <f aca="true" t="shared" si="41" ref="Y31:Y36">$Y$3/$X$5</f>
        <v>113318.18181818182</v>
      </c>
      <c r="Z31" s="78">
        <f aca="true" t="shared" si="42" ref="Z31:Z36">$Z$3/$X$5</f>
        <v>93272.72727272728</v>
      </c>
      <c r="AA31" s="78">
        <f aca="true" t="shared" si="43" ref="AA31:AA36">SUM(X31:Z31)</f>
        <v>366537.9321021716</v>
      </c>
      <c r="AB31" s="78">
        <f>$AB$3/$X$5</f>
        <v>400954.54545454547</v>
      </c>
      <c r="AC31" s="76">
        <f>AA31/AB31</f>
        <v>0.9141633041886152</v>
      </c>
      <c r="AD31" s="77"/>
      <c r="AE31" s="78">
        <f t="shared" si="10"/>
        <v>-40333.6213199259</v>
      </c>
      <c r="AF31" s="51">
        <f t="shared" si="11"/>
        <v>-9792.135135881897</v>
      </c>
      <c r="AG31" s="51">
        <f t="shared" si="11"/>
        <v>-44009.93163094578</v>
      </c>
      <c r="AH31" s="51">
        <f t="shared" si="11"/>
        <v>-23957.25531538719</v>
      </c>
      <c r="AI31" s="51">
        <f t="shared" si="11"/>
        <v>-24994.762756465436</v>
      </c>
      <c r="AJ31" s="51">
        <f t="shared" si="11"/>
        <v>-1211.1491484099397</v>
      </c>
      <c r="AK31" s="51">
        <f t="shared" si="11"/>
        <v>-11104.899209551293</v>
      </c>
      <c r="AL31" s="51">
        <f t="shared" si="11"/>
        <v>-4543.26849469502</v>
      </c>
      <c r="AM31" s="78">
        <f t="shared" si="31"/>
        <v>-159947.02301126244</v>
      </c>
      <c r="AN31" s="78">
        <f t="shared" si="12"/>
        <v>-113318.18181818182</v>
      </c>
      <c r="AO31" s="78">
        <f t="shared" si="12"/>
        <v>-93272.72727272728</v>
      </c>
      <c r="AP31" s="78">
        <f t="shared" si="8"/>
        <v>-366537.9321021716</v>
      </c>
      <c r="AQ31" s="78">
        <f t="shared" si="13"/>
        <v>-400954.54545454547</v>
      </c>
      <c r="AR31" s="78"/>
    </row>
    <row r="32" spans="1:44" s="60" customFormat="1" ht="12.75">
      <c r="A32" s="89">
        <f>'[1]FINAL'!$A26</f>
        <v>0</v>
      </c>
      <c r="B32" s="51">
        <f>'[1]FINAL'!$B26</f>
        <v>0</v>
      </c>
      <c r="C32" s="51">
        <f>'[1]FINAL'!C26</f>
        <v>0</v>
      </c>
      <c r="D32" s="51">
        <f>'[1]FINAL'!D26</f>
        <v>0</v>
      </c>
      <c r="E32" s="51">
        <f>'[1]FINAL'!E26</f>
        <v>0</v>
      </c>
      <c r="F32" s="51">
        <f>'[1]FINAL'!F26</f>
        <v>0</v>
      </c>
      <c r="G32" s="51">
        <f>'[1]FINAL'!G26</f>
        <v>0</v>
      </c>
      <c r="H32" s="51">
        <f>'[1]FINAL'!H26</f>
        <v>0</v>
      </c>
      <c r="I32" s="52">
        <f>'[2]FINAL'!I26</f>
        <v>0</v>
      </c>
      <c r="J32" s="78">
        <f t="shared" si="14"/>
        <v>0</v>
      </c>
      <c r="K32" s="52">
        <f>'[1]FINAL'!J26</f>
        <v>0</v>
      </c>
      <c r="L32" s="52">
        <f>'[1]FINAL'!K26</f>
        <v>0</v>
      </c>
      <c r="M32" s="78">
        <f t="shared" si="15"/>
        <v>0</v>
      </c>
      <c r="N32" s="52">
        <f>'[1]FINAL'!L26</f>
        <v>0</v>
      </c>
      <c r="O32" s="64" t="e">
        <f t="shared" si="16"/>
        <v>#DIV/0!</v>
      </c>
      <c r="P32" s="78">
        <f t="shared" si="33"/>
        <v>40333.6213199259</v>
      </c>
      <c r="Q32" s="78">
        <f t="shared" si="34"/>
        <v>9792.135135881897</v>
      </c>
      <c r="R32" s="78">
        <f t="shared" si="35"/>
        <v>44009.93163094578</v>
      </c>
      <c r="S32" s="78">
        <f t="shared" si="36"/>
        <v>23957.25531538719</v>
      </c>
      <c r="T32" s="78">
        <f t="shared" si="37"/>
        <v>24994.762756465436</v>
      </c>
      <c r="U32" s="78">
        <f t="shared" si="38"/>
        <v>1211.1491484099397</v>
      </c>
      <c r="V32" s="78">
        <f t="shared" si="39"/>
        <v>11104.899209551293</v>
      </c>
      <c r="W32" s="78">
        <f t="shared" si="40"/>
        <v>4543.26849469502</v>
      </c>
      <c r="X32" s="78">
        <f t="shared" si="32"/>
        <v>159947.02301126244</v>
      </c>
      <c r="Y32" s="78">
        <f t="shared" si="41"/>
        <v>113318.18181818182</v>
      </c>
      <c r="Z32" s="78">
        <f t="shared" si="42"/>
        <v>93272.72727272728</v>
      </c>
      <c r="AA32" s="78">
        <f t="shared" si="43"/>
        <v>366537.9321021716</v>
      </c>
      <c r="AB32" s="78">
        <f>$AB$3/$X$5</f>
        <v>400954.54545454547</v>
      </c>
      <c r="AC32" s="76">
        <f>AA32/AB32</f>
        <v>0.9141633041886152</v>
      </c>
      <c r="AD32" s="77"/>
      <c r="AE32" s="78">
        <f t="shared" si="10"/>
        <v>-40333.6213199259</v>
      </c>
      <c r="AF32" s="51">
        <f t="shared" si="11"/>
        <v>-9792.135135881897</v>
      </c>
      <c r="AG32" s="51">
        <f t="shared" si="11"/>
        <v>-44009.93163094578</v>
      </c>
      <c r="AH32" s="51">
        <f t="shared" si="11"/>
        <v>-23957.25531538719</v>
      </c>
      <c r="AI32" s="51">
        <f t="shared" si="11"/>
        <v>-24994.762756465436</v>
      </c>
      <c r="AJ32" s="51">
        <f t="shared" si="11"/>
        <v>-1211.1491484099397</v>
      </c>
      <c r="AK32" s="51">
        <f t="shared" si="11"/>
        <v>-11104.899209551293</v>
      </c>
      <c r="AL32" s="51">
        <f t="shared" si="11"/>
        <v>-4543.26849469502</v>
      </c>
      <c r="AM32" s="78">
        <f t="shared" si="31"/>
        <v>-159947.02301126244</v>
      </c>
      <c r="AN32" s="78">
        <f t="shared" si="12"/>
        <v>-113318.18181818182</v>
      </c>
      <c r="AO32" s="78">
        <f t="shared" si="12"/>
        <v>-93272.72727272728</v>
      </c>
      <c r="AP32" s="78">
        <f t="shared" si="8"/>
        <v>-366537.9321021716</v>
      </c>
      <c r="AQ32" s="78">
        <f t="shared" si="13"/>
        <v>-400954.54545454547</v>
      </c>
      <c r="AR32" s="78">
        <f>AP32/AQ32</f>
        <v>0.9141633041886152</v>
      </c>
    </row>
    <row r="33" spans="1:85" s="95" customFormat="1" ht="12.75">
      <c r="A33" s="197">
        <f>'[1]FINAL'!$A27</f>
        <v>0</v>
      </c>
      <c r="B33" s="90">
        <f>'[1]FINAL'!$B27</f>
        <v>0</v>
      </c>
      <c r="C33" s="90">
        <f>'[1]FINAL'!C27</f>
        <v>0</v>
      </c>
      <c r="D33" s="90">
        <f>'[1]FINAL'!D27</f>
        <v>0</v>
      </c>
      <c r="E33" s="90">
        <f>'[1]FINAL'!E27</f>
        <v>0</v>
      </c>
      <c r="F33" s="90">
        <f>'[1]FINAL'!F27</f>
        <v>0</v>
      </c>
      <c r="G33" s="90">
        <f>'[1]FINAL'!G27</f>
        <v>0</v>
      </c>
      <c r="H33" s="90">
        <f>'[1]FINAL'!H27</f>
        <v>0</v>
      </c>
      <c r="I33" s="198">
        <f>'[2]FINAL'!I27</f>
        <v>0</v>
      </c>
      <c r="J33" s="91">
        <f t="shared" si="14"/>
        <v>0</v>
      </c>
      <c r="K33" s="198">
        <f>'[1]FINAL'!J27</f>
        <v>0</v>
      </c>
      <c r="L33" s="198">
        <f>'[1]FINAL'!K27</f>
        <v>0</v>
      </c>
      <c r="M33" s="91">
        <f t="shared" si="15"/>
        <v>0</v>
      </c>
      <c r="N33" s="52">
        <f>'[1]FINAL'!L27</f>
        <v>0</v>
      </c>
      <c r="O33" s="92" t="e">
        <f t="shared" si="16"/>
        <v>#DIV/0!</v>
      </c>
      <c r="P33" s="91">
        <f t="shared" si="33"/>
        <v>40333.6213199259</v>
      </c>
      <c r="Q33" s="91">
        <f t="shared" si="34"/>
        <v>9792.135135881897</v>
      </c>
      <c r="R33" s="91">
        <f t="shared" si="35"/>
        <v>44009.93163094578</v>
      </c>
      <c r="S33" s="91">
        <f t="shared" si="36"/>
        <v>23957.25531538719</v>
      </c>
      <c r="T33" s="91">
        <f t="shared" si="37"/>
        <v>24994.762756465436</v>
      </c>
      <c r="U33" s="91">
        <f t="shared" si="38"/>
        <v>1211.1491484099397</v>
      </c>
      <c r="V33" s="91">
        <f t="shared" si="39"/>
        <v>11104.899209551293</v>
      </c>
      <c r="W33" s="91">
        <f t="shared" si="40"/>
        <v>4543.26849469502</v>
      </c>
      <c r="X33" s="91">
        <f t="shared" si="32"/>
        <v>159947.02301126244</v>
      </c>
      <c r="Y33" s="91">
        <f t="shared" si="41"/>
        <v>113318.18181818182</v>
      </c>
      <c r="Z33" s="91">
        <f t="shared" si="42"/>
        <v>93272.72727272728</v>
      </c>
      <c r="AA33" s="91">
        <f t="shared" si="43"/>
        <v>366537.9321021716</v>
      </c>
      <c r="AB33" s="91">
        <f>$AB$3/$X$5</f>
        <v>400954.54545454547</v>
      </c>
      <c r="AC33" s="93">
        <f>AA33/AB33</f>
        <v>0.9141633041886152</v>
      </c>
      <c r="AD33" s="94"/>
      <c r="AE33" s="91">
        <f t="shared" si="10"/>
        <v>-40333.6213199259</v>
      </c>
      <c r="AF33" s="90">
        <f t="shared" si="11"/>
        <v>-9792.135135881897</v>
      </c>
      <c r="AG33" s="90">
        <f t="shared" si="11"/>
        <v>-44009.93163094578</v>
      </c>
      <c r="AH33" s="90">
        <f t="shared" si="11"/>
        <v>-23957.25531538719</v>
      </c>
      <c r="AI33" s="90">
        <f t="shared" si="11"/>
        <v>-24994.762756465436</v>
      </c>
      <c r="AJ33" s="90">
        <f t="shared" si="11"/>
        <v>-1211.1491484099397</v>
      </c>
      <c r="AK33" s="90">
        <f t="shared" si="11"/>
        <v>-11104.899209551293</v>
      </c>
      <c r="AL33" s="90">
        <f t="shared" si="11"/>
        <v>-4543.26849469502</v>
      </c>
      <c r="AM33" s="91">
        <f t="shared" si="31"/>
        <v>-159947.02301126244</v>
      </c>
      <c r="AN33" s="91">
        <f t="shared" si="12"/>
        <v>-113318.18181818182</v>
      </c>
      <c r="AO33" s="91">
        <f t="shared" si="12"/>
        <v>-93272.72727272728</v>
      </c>
      <c r="AP33" s="91">
        <f t="shared" si="8"/>
        <v>-366537.9321021716</v>
      </c>
      <c r="AQ33" s="91">
        <f t="shared" si="13"/>
        <v>-400954.54545454547</v>
      </c>
      <c r="AR33" s="91">
        <f>AP33/AQ33</f>
        <v>0.9141633041886152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s="95" customFormat="1" ht="12.75">
      <c r="A34" s="197">
        <f>'[1]FINAL'!$A28</f>
        <v>0</v>
      </c>
      <c r="B34" s="90">
        <f>'[1]FINAL'!$B28</f>
        <v>0</v>
      </c>
      <c r="C34" s="90">
        <f>'[1]FINAL'!C28</f>
        <v>0</v>
      </c>
      <c r="D34" s="90">
        <f>'[1]FINAL'!D28</f>
        <v>0</v>
      </c>
      <c r="E34" s="90">
        <f>'[1]FINAL'!E28</f>
        <v>0</v>
      </c>
      <c r="F34" s="90">
        <f>'[1]FINAL'!F28</f>
        <v>0</v>
      </c>
      <c r="G34" s="90">
        <f>'[1]FINAL'!G28</f>
        <v>0</v>
      </c>
      <c r="H34" s="90">
        <f>'[1]FINAL'!H28</f>
        <v>0</v>
      </c>
      <c r="I34" s="198">
        <f>'[2]FINAL'!I28</f>
        <v>0</v>
      </c>
      <c r="J34" s="91">
        <f t="shared" si="14"/>
        <v>0</v>
      </c>
      <c r="K34" s="198">
        <f>'[1]FINAL'!J28</f>
        <v>0</v>
      </c>
      <c r="L34" s="198">
        <f>'[1]FINAL'!K28</f>
        <v>0</v>
      </c>
      <c r="M34" s="91">
        <f t="shared" si="15"/>
        <v>0</v>
      </c>
      <c r="N34" s="52">
        <f>'[1]FINAL'!L28</f>
        <v>0</v>
      </c>
      <c r="O34" s="92" t="e">
        <f t="shared" si="16"/>
        <v>#DIV/0!</v>
      </c>
      <c r="P34" s="91">
        <f t="shared" si="33"/>
        <v>40333.6213199259</v>
      </c>
      <c r="Q34" s="91">
        <f t="shared" si="34"/>
        <v>9792.135135881897</v>
      </c>
      <c r="R34" s="91">
        <f t="shared" si="35"/>
        <v>44009.93163094578</v>
      </c>
      <c r="S34" s="91">
        <f t="shared" si="36"/>
        <v>23957.25531538719</v>
      </c>
      <c r="T34" s="91">
        <f t="shared" si="37"/>
        <v>24994.762756465436</v>
      </c>
      <c r="U34" s="91">
        <f t="shared" si="38"/>
        <v>1211.1491484099397</v>
      </c>
      <c r="V34" s="91">
        <f t="shared" si="39"/>
        <v>11104.899209551293</v>
      </c>
      <c r="W34" s="91">
        <f t="shared" si="40"/>
        <v>4543.26849469502</v>
      </c>
      <c r="X34" s="91">
        <f t="shared" si="32"/>
        <v>159947.02301126244</v>
      </c>
      <c r="Y34" s="91">
        <f t="shared" si="41"/>
        <v>113318.18181818182</v>
      </c>
      <c r="Z34" s="91">
        <f t="shared" si="42"/>
        <v>93272.72727272728</v>
      </c>
      <c r="AA34" s="91">
        <f t="shared" si="43"/>
        <v>366537.9321021716</v>
      </c>
      <c r="AB34" s="91">
        <f>$AB$3/$X$5</f>
        <v>400954.54545454547</v>
      </c>
      <c r="AC34" s="93">
        <f>AA34/AB34</f>
        <v>0.9141633041886152</v>
      </c>
      <c r="AD34" s="94"/>
      <c r="AE34" s="91">
        <f t="shared" si="10"/>
        <v>-40333.6213199259</v>
      </c>
      <c r="AF34" s="90">
        <f t="shared" si="11"/>
        <v>-9792.135135881897</v>
      </c>
      <c r="AG34" s="90">
        <f t="shared" si="11"/>
        <v>-44009.93163094578</v>
      </c>
      <c r="AH34" s="90">
        <f t="shared" si="11"/>
        <v>-23957.25531538719</v>
      </c>
      <c r="AI34" s="90">
        <f t="shared" si="11"/>
        <v>-24994.762756465436</v>
      </c>
      <c r="AJ34" s="90">
        <f t="shared" si="11"/>
        <v>-1211.1491484099397</v>
      </c>
      <c r="AK34" s="90">
        <f t="shared" si="11"/>
        <v>-11104.899209551293</v>
      </c>
      <c r="AL34" s="90">
        <f t="shared" si="11"/>
        <v>-4543.26849469502</v>
      </c>
      <c r="AM34" s="91">
        <f t="shared" si="31"/>
        <v>-159947.02301126244</v>
      </c>
      <c r="AN34" s="91">
        <f t="shared" si="12"/>
        <v>-113318.18181818182</v>
      </c>
      <c r="AO34" s="91">
        <f t="shared" si="12"/>
        <v>-93272.72727272728</v>
      </c>
      <c r="AP34" s="91">
        <f t="shared" si="8"/>
        <v>-366537.9321021716</v>
      </c>
      <c r="AQ34" s="91">
        <f t="shared" si="13"/>
        <v>-400954.54545454547</v>
      </c>
      <c r="AR34" s="91">
        <f>AP34/AQ34</f>
        <v>0.9141633041886152</v>
      </c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44" s="60" customFormat="1" ht="12.75">
      <c r="A35" s="89">
        <f>'[1]FINAL'!$A29</f>
        <v>0</v>
      </c>
      <c r="B35" s="51">
        <f>'[1]FINAL'!$B29</f>
        <v>0</v>
      </c>
      <c r="C35" s="51">
        <f>'[1]FINAL'!C29</f>
        <v>0</v>
      </c>
      <c r="D35" s="51">
        <f>'[1]FINAL'!D29</f>
        <v>0</v>
      </c>
      <c r="E35" s="51">
        <f>'[1]FINAL'!E29</f>
        <v>0</v>
      </c>
      <c r="F35" s="51">
        <f>'[1]FINAL'!F29</f>
        <v>0</v>
      </c>
      <c r="G35" s="51">
        <f>'[1]FINAL'!G29</f>
        <v>0</v>
      </c>
      <c r="H35" s="51">
        <f>'[1]FINAL'!H29</f>
        <v>0</v>
      </c>
      <c r="I35" s="52">
        <f>'[2]FINAL'!I29</f>
        <v>0</v>
      </c>
      <c r="J35" s="78">
        <f t="shared" si="14"/>
        <v>0</v>
      </c>
      <c r="K35" s="52">
        <f>'[1]FINAL'!J29</f>
        <v>0</v>
      </c>
      <c r="L35" s="52">
        <f>'[1]FINAL'!K29</f>
        <v>0</v>
      </c>
      <c r="M35" s="78">
        <f t="shared" si="15"/>
        <v>0</v>
      </c>
      <c r="N35" s="52">
        <f>'[1]FINAL'!L29</f>
        <v>0</v>
      </c>
      <c r="O35" s="64" t="e">
        <f t="shared" si="16"/>
        <v>#DIV/0!</v>
      </c>
      <c r="P35" s="78">
        <f t="shared" si="33"/>
        <v>40333.6213199259</v>
      </c>
      <c r="Q35" s="78">
        <f t="shared" si="34"/>
        <v>9792.135135881897</v>
      </c>
      <c r="R35" s="78">
        <f t="shared" si="35"/>
        <v>44009.93163094578</v>
      </c>
      <c r="S35" s="78">
        <f t="shared" si="36"/>
        <v>23957.25531538719</v>
      </c>
      <c r="T35" s="78">
        <f t="shared" si="37"/>
        <v>24994.762756465436</v>
      </c>
      <c r="U35" s="78">
        <f t="shared" si="38"/>
        <v>1211.1491484099397</v>
      </c>
      <c r="V35" s="78">
        <f t="shared" si="39"/>
        <v>11104.899209551293</v>
      </c>
      <c r="W35" s="78">
        <f t="shared" si="40"/>
        <v>4543.26849469502</v>
      </c>
      <c r="X35" s="78">
        <f t="shared" si="32"/>
        <v>159947.02301126244</v>
      </c>
      <c r="Y35" s="78">
        <f t="shared" si="41"/>
        <v>113318.18181818182</v>
      </c>
      <c r="Z35" s="78">
        <f t="shared" si="42"/>
        <v>93272.72727272728</v>
      </c>
      <c r="AA35" s="78">
        <f t="shared" si="43"/>
        <v>366537.9321021716</v>
      </c>
      <c r="AB35" s="78">
        <f>$AB$3/$X$5</f>
        <v>400954.54545454547</v>
      </c>
      <c r="AC35" s="76">
        <f>AA35/AB35</f>
        <v>0.9141633041886152</v>
      </c>
      <c r="AD35" s="77"/>
      <c r="AE35" s="78">
        <f t="shared" si="10"/>
        <v>-40333.6213199259</v>
      </c>
      <c r="AF35" s="51">
        <f t="shared" si="11"/>
        <v>-9792.135135881897</v>
      </c>
      <c r="AG35" s="51">
        <f t="shared" si="11"/>
        <v>-44009.93163094578</v>
      </c>
      <c r="AH35" s="51">
        <f t="shared" si="11"/>
        <v>-23957.25531538719</v>
      </c>
      <c r="AI35" s="51">
        <f t="shared" si="11"/>
        <v>-24994.762756465436</v>
      </c>
      <c r="AJ35" s="51">
        <f t="shared" si="11"/>
        <v>-1211.1491484099397</v>
      </c>
      <c r="AK35" s="51">
        <f t="shared" si="11"/>
        <v>-11104.899209551293</v>
      </c>
      <c r="AL35" s="51">
        <f t="shared" si="11"/>
        <v>-4543.26849469502</v>
      </c>
      <c r="AM35" s="78">
        <f t="shared" si="31"/>
        <v>-159947.02301126244</v>
      </c>
      <c r="AN35" s="78">
        <f t="shared" si="12"/>
        <v>-113318.18181818182</v>
      </c>
      <c r="AO35" s="78">
        <f t="shared" si="12"/>
        <v>-93272.72727272728</v>
      </c>
      <c r="AP35" s="78">
        <f t="shared" si="8"/>
        <v>-366537.9321021716</v>
      </c>
      <c r="AQ35" s="78">
        <f t="shared" si="13"/>
        <v>-400954.54545454547</v>
      </c>
      <c r="AR35" s="78">
        <f>AP35/AQ35</f>
        <v>0.9141633041886152</v>
      </c>
    </row>
    <row r="36" spans="1:44" s="60" customFormat="1" ht="12.75">
      <c r="A36" s="89">
        <f>'[1]FINAL'!$A30</f>
        <v>0</v>
      </c>
      <c r="B36" s="51">
        <f>'[1]FINAL'!$B30</f>
        <v>0</v>
      </c>
      <c r="C36" s="51">
        <f>'[1]FINAL'!C30</f>
        <v>0</v>
      </c>
      <c r="D36" s="51">
        <f>'[1]FINAL'!D30</f>
        <v>0</v>
      </c>
      <c r="E36" s="51">
        <f>'[1]FINAL'!E30</f>
        <v>0</v>
      </c>
      <c r="F36" s="51">
        <f>'[1]FINAL'!F30</f>
        <v>0</v>
      </c>
      <c r="G36" s="51">
        <f>'[1]FINAL'!G30</f>
        <v>0</v>
      </c>
      <c r="H36" s="51">
        <f>'[1]FINAL'!H30</f>
        <v>0</v>
      </c>
      <c r="I36" s="52">
        <f>'[2]FINAL'!I30</f>
        <v>0</v>
      </c>
      <c r="J36" s="78">
        <f t="shared" si="14"/>
        <v>0</v>
      </c>
      <c r="K36" s="52">
        <f>'[1]FINAL'!J30</f>
        <v>0</v>
      </c>
      <c r="L36" s="52">
        <f>'[1]FINAL'!K30</f>
        <v>0</v>
      </c>
      <c r="M36" s="78">
        <f t="shared" si="15"/>
        <v>0</v>
      </c>
      <c r="N36" s="52">
        <f>'[1]FINAL'!L30</f>
        <v>0</v>
      </c>
      <c r="O36" s="64" t="e">
        <f t="shared" si="16"/>
        <v>#DIV/0!</v>
      </c>
      <c r="P36" s="78">
        <f t="shared" si="33"/>
        <v>40333.6213199259</v>
      </c>
      <c r="Q36" s="78">
        <f t="shared" si="34"/>
        <v>9792.135135881897</v>
      </c>
      <c r="R36" s="78">
        <f t="shared" si="35"/>
        <v>44009.93163094578</v>
      </c>
      <c r="S36" s="78">
        <f t="shared" si="36"/>
        <v>23957.25531538719</v>
      </c>
      <c r="T36" s="78">
        <f t="shared" si="37"/>
        <v>24994.762756465436</v>
      </c>
      <c r="U36" s="78">
        <f t="shared" si="38"/>
        <v>1211.1491484099397</v>
      </c>
      <c r="V36" s="78">
        <f t="shared" si="39"/>
        <v>11104.899209551293</v>
      </c>
      <c r="W36" s="78">
        <f t="shared" si="40"/>
        <v>4543.26849469502</v>
      </c>
      <c r="X36" s="78">
        <f t="shared" si="32"/>
        <v>159947.02301126244</v>
      </c>
      <c r="Y36" s="78">
        <f t="shared" si="41"/>
        <v>113318.18181818182</v>
      </c>
      <c r="Z36" s="78">
        <f t="shared" si="42"/>
        <v>93272.72727272728</v>
      </c>
      <c r="AA36" s="78">
        <f t="shared" si="43"/>
        <v>366537.9321021716</v>
      </c>
      <c r="AB36" s="78"/>
      <c r="AC36" s="76"/>
      <c r="AD36" s="77"/>
      <c r="AE36" s="78">
        <f t="shared" si="10"/>
        <v>-40333.6213199259</v>
      </c>
      <c r="AF36" s="51">
        <f t="shared" si="11"/>
        <v>-9792.135135881897</v>
      </c>
      <c r="AG36" s="51">
        <f t="shared" si="11"/>
        <v>-44009.93163094578</v>
      </c>
      <c r="AH36" s="51">
        <f t="shared" si="11"/>
        <v>-23957.25531538719</v>
      </c>
      <c r="AI36" s="51">
        <f t="shared" si="11"/>
        <v>-24994.762756465436</v>
      </c>
      <c r="AJ36" s="51">
        <f t="shared" si="11"/>
        <v>-1211.1491484099397</v>
      </c>
      <c r="AK36" s="51">
        <f t="shared" si="11"/>
        <v>-11104.899209551293</v>
      </c>
      <c r="AL36" s="51">
        <f t="shared" si="11"/>
        <v>-4543.26849469502</v>
      </c>
      <c r="AM36" s="78">
        <f t="shared" si="31"/>
        <v>-159947.02301126244</v>
      </c>
      <c r="AN36" s="78">
        <f t="shared" si="12"/>
        <v>-113318.18181818182</v>
      </c>
      <c r="AO36" s="78">
        <f t="shared" si="12"/>
        <v>-93272.72727272728</v>
      </c>
      <c r="AP36" s="78">
        <f t="shared" si="8"/>
        <v>-366537.9321021716</v>
      </c>
      <c r="AQ36" s="78">
        <f t="shared" si="13"/>
        <v>0</v>
      </c>
      <c r="AR36" s="78" t="e">
        <f>AP36/AQ36</f>
        <v>#DIV/0!</v>
      </c>
    </row>
    <row r="37" spans="1:44" s="60" customFormat="1" ht="12.75">
      <c r="A37" s="89">
        <f>'[1]FINAL'!$A31</f>
        <v>0</v>
      </c>
      <c r="B37" s="51">
        <f>'[1]FINAL'!$B31</f>
        <v>0</v>
      </c>
      <c r="C37" s="51">
        <f>'[1]FINAL'!C31</f>
        <v>0</v>
      </c>
      <c r="D37" s="51">
        <f>'[1]FINAL'!D31</f>
        <v>0</v>
      </c>
      <c r="E37" s="51">
        <f>'[1]FINAL'!E31</f>
        <v>0</v>
      </c>
      <c r="F37" s="51">
        <f>'[1]FINAL'!F31</f>
        <v>0</v>
      </c>
      <c r="G37" s="51">
        <f>'[1]FINAL'!G31</f>
        <v>0</v>
      </c>
      <c r="H37" s="51">
        <f>'[1]FINAL'!H31</f>
        <v>0</v>
      </c>
      <c r="I37" s="52">
        <f>'[2]FINAL'!I31</f>
        <v>0</v>
      </c>
      <c r="J37" s="78">
        <f t="shared" si="14"/>
        <v>0</v>
      </c>
      <c r="K37" s="52">
        <f>'[1]FINAL'!J31</f>
        <v>0</v>
      </c>
      <c r="L37" s="52">
        <f>'[1]FINAL'!K31</f>
        <v>0</v>
      </c>
      <c r="M37" s="78">
        <f t="shared" si="15"/>
        <v>0</v>
      </c>
      <c r="N37" s="52">
        <f>'[1]FINAL'!L31</f>
        <v>0</v>
      </c>
      <c r="O37" s="64" t="e">
        <f t="shared" si="16"/>
        <v>#DIV/0!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76"/>
      <c r="AD37" s="77"/>
      <c r="AE37" s="78">
        <f t="shared" si="10"/>
        <v>0</v>
      </c>
      <c r="AF37" s="51">
        <f t="shared" si="11"/>
        <v>0</v>
      </c>
      <c r="AG37" s="51">
        <f t="shared" si="11"/>
        <v>0</v>
      </c>
      <c r="AH37" s="51">
        <f t="shared" si="11"/>
        <v>0</v>
      </c>
      <c r="AI37" s="51">
        <f t="shared" si="11"/>
        <v>0</v>
      </c>
      <c r="AJ37" s="51">
        <f t="shared" si="11"/>
        <v>0</v>
      </c>
      <c r="AK37" s="51">
        <f t="shared" si="11"/>
        <v>0</v>
      </c>
      <c r="AL37" s="51">
        <f t="shared" si="11"/>
        <v>0</v>
      </c>
      <c r="AM37" s="78">
        <f t="shared" si="31"/>
        <v>0</v>
      </c>
      <c r="AN37" s="78">
        <f t="shared" si="12"/>
        <v>0</v>
      </c>
      <c r="AO37" s="78">
        <f t="shared" si="12"/>
        <v>0</v>
      </c>
      <c r="AP37" s="78">
        <f t="shared" si="8"/>
        <v>0</v>
      </c>
      <c r="AQ37" s="78">
        <f t="shared" si="13"/>
        <v>0</v>
      </c>
      <c r="AR37" s="78"/>
    </row>
    <row r="38" spans="1:44" s="60" customFormat="1" ht="12.75">
      <c r="A38" s="89">
        <f>'[1]FINAL'!$A32</f>
        <v>0</v>
      </c>
      <c r="B38" s="51">
        <f>'[1]FINAL'!$B32</f>
        <v>0</v>
      </c>
      <c r="C38" s="51">
        <f>'[1]FINAL'!C32</f>
        <v>0</v>
      </c>
      <c r="D38" s="51">
        <f>'[1]FINAL'!D32</f>
        <v>0</v>
      </c>
      <c r="E38" s="51">
        <f>'[1]FINAL'!E32</f>
        <v>0</v>
      </c>
      <c r="F38" s="51">
        <f>'[1]FINAL'!F32</f>
        <v>0</v>
      </c>
      <c r="G38" s="51">
        <f>'[1]FINAL'!G32</f>
        <v>0</v>
      </c>
      <c r="H38" s="51">
        <f>'[1]FINAL'!H32</f>
        <v>0</v>
      </c>
      <c r="I38" s="52">
        <f>'[2]FINAL'!I32</f>
        <v>0</v>
      </c>
      <c r="J38" s="78">
        <f t="shared" si="14"/>
        <v>0</v>
      </c>
      <c r="K38" s="52">
        <f>'[1]FINAL'!J32</f>
        <v>0</v>
      </c>
      <c r="L38" s="52">
        <f>'[1]FINAL'!K32</f>
        <v>0</v>
      </c>
      <c r="M38" s="78">
        <f t="shared" si="15"/>
        <v>0</v>
      </c>
      <c r="N38" s="52">
        <f>'[1]FINAL'!L32</f>
        <v>0</v>
      </c>
      <c r="O38" s="64" t="e">
        <f t="shared" si="16"/>
        <v>#DIV/0!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6"/>
      <c r="AD38" s="77"/>
      <c r="AE38" s="78">
        <f t="shared" si="10"/>
        <v>0</v>
      </c>
      <c r="AF38" s="51">
        <f t="shared" si="11"/>
        <v>0</v>
      </c>
      <c r="AG38" s="51">
        <f t="shared" si="11"/>
        <v>0</v>
      </c>
      <c r="AH38" s="51">
        <f t="shared" si="11"/>
        <v>0</v>
      </c>
      <c r="AI38" s="51">
        <f t="shared" si="11"/>
        <v>0</v>
      </c>
      <c r="AJ38" s="51">
        <f t="shared" si="11"/>
        <v>0</v>
      </c>
      <c r="AK38" s="51">
        <f t="shared" si="11"/>
        <v>0</v>
      </c>
      <c r="AL38" s="51">
        <f t="shared" si="11"/>
        <v>0</v>
      </c>
      <c r="AM38" s="78">
        <f t="shared" si="31"/>
        <v>0</v>
      </c>
      <c r="AN38" s="78">
        <f t="shared" si="12"/>
        <v>0</v>
      </c>
      <c r="AO38" s="78">
        <f t="shared" si="12"/>
        <v>0</v>
      </c>
      <c r="AP38" s="78">
        <f t="shared" si="8"/>
        <v>0</v>
      </c>
      <c r="AQ38" s="78">
        <f t="shared" si="13"/>
        <v>0</v>
      </c>
      <c r="AR38" s="78"/>
    </row>
    <row r="39" spans="1:44" s="60" customFormat="1" ht="12.75">
      <c r="A39" s="89">
        <f>'[1]FINAL'!$A33</f>
        <v>0</v>
      </c>
      <c r="B39" s="51">
        <f>'[1]FINAL'!$B33</f>
        <v>0</v>
      </c>
      <c r="C39" s="51">
        <f>'[1]FINAL'!C33</f>
        <v>0</v>
      </c>
      <c r="D39" s="51">
        <f>'[1]FINAL'!D33</f>
        <v>0</v>
      </c>
      <c r="E39" s="51">
        <f>'[1]FINAL'!E33</f>
        <v>0</v>
      </c>
      <c r="F39" s="51">
        <f>'[1]FINAL'!F33</f>
        <v>0</v>
      </c>
      <c r="G39" s="51">
        <f>'[1]FINAL'!G33</f>
        <v>0</v>
      </c>
      <c r="H39" s="51">
        <f>'[1]FINAL'!H33</f>
        <v>0</v>
      </c>
      <c r="I39" s="52">
        <f>'[2]FINAL'!I33</f>
        <v>0</v>
      </c>
      <c r="J39" s="78">
        <f t="shared" si="14"/>
        <v>0</v>
      </c>
      <c r="K39" s="52">
        <f>'[1]FINAL'!J33</f>
        <v>0</v>
      </c>
      <c r="L39" s="52">
        <f>'[1]FINAL'!K33</f>
        <v>0</v>
      </c>
      <c r="M39" s="78">
        <f t="shared" si="15"/>
        <v>0</v>
      </c>
      <c r="N39" s="52">
        <f>'[1]FINAL'!L33</f>
        <v>0</v>
      </c>
      <c r="O39" s="64" t="e">
        <f t="shared" si="16"/>
        <v>#DIV/0!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>
        <f t="shared" si="10"/>
        <v>0</v>
      </c>
      <c r="AF39" s="78">
        <f aca="true" t="shared" si="44" ref="AF39:AL39">C39-Q39</f>
        <v>0</v>
      </c>
      <c r="AG39" s="78">
        <f t="shared" si="44"/>
        <v>0</v>
      </c>
      <c r="AH39" s="78">
        <f t="shared" si="44"/>
        <v>0</v>
      </c>
      <c r="AI39" s="78">
        <f t="shared" si="44"/>
        <v>0</v>
      </c>
      <c r="AJ39" s="78">
        <f t="shared" si="44"/>
        <v>0</v>
      </c>
      <c r="AK39" s="78">
        <f t="shared" si="44"/>
        <v>0</v>
      </c>
      <c r="AL39" s="78">
        <f t="shared" si="44"/>
        <v>0</v>
      </c>
      <c r="AM39" s="78">
        <f>SUM(AE39:AL39)</f>
        <v>0</v>
      </c>
      <c r="AN39" s="78">
        <f>K37-Y37</f>
        <v>0</v>
      </c>
      <c r="AO39" s="78">
        <f>L39-Z39</f>
        <v>0</v>
      </c>
      <c r="AP39" s="78">
        <f>SUM(AM39:AO39)</f>
        <v>0</v>
      </c>
      <c r="AQ39" s="100">
        <f t="shared" si="13"/>
        <v>0</v>
      </c>
      <c r="AR39" s="78" t="e">
        <f>AP39/AQ39</f>
        <v>#DIV/0!</v>
      </c>
    </row>
    <row r="40" spans="1:130" s="79" customFormat="1" ht="12.75">
      <c r="A40" s="89">
        <f>'[1]FINAL'!$A34</f>
        <v>0</v>
      </c>
      <c r="B40" s="51">
        <f>'[1]FINAL'!$B34</f>
        <v>0</v>
      </c>
      <c r="C40" s="51">
        <f>'[1]FINAL'!C34</f>
        <v>0</v>
      </c>
      <c r="D40" s="51">
        <f>'[1]FINAL'!D34</f>
        <v>0</v>
      </c>
      <c r="E40" s="51">
        <f>'[1]FINAL'!E34</f>
        <v>0</v>
      </c>
      <c r="F40" s="51">
        <f>'[1]FINAL'!F34</f>
        <v>0</v>
      </c>
      <c r="G40" s="51">
        <f>'[1]FINAL'!G34</f>
        <v>0</v>
      </c>
      <c r="H40" s="51">
        <f>'[1]FINAL'!H34</f>
        <v>0</v>
      </c>
      <c r="I40" s="52">
        <f>'[2]FINAL'!I34</f>
        <v>0</v>
      </c>
      <c r="J40" s="80"/>
      <c r="K40" s="52">
        <f>'[1]FINAL'!J34</f>
        <v>0</v>
      </c>
      <c r="L40" s="52">
        <f>'[1]FINAL'!K34</f>
        <v>0</v>
      </c>
      <c r="M40" s="80"/>
      <c r="N40" s="52">
        <f>'[1]FINAL'!L34</f>
        <v>0</v>
      </c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2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3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3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591733.08</v>
      </c>
      <c r="C43" s="181">
        <f aca="true" t="shared" si="45" ref="C43:I43">SUM(C8:C42)</f>
        <v>149680.72000000003</v>
      </c>
      <c r="D43" s="181">
        <f t="shared" si="45"/>
        <v>671386.3500000001</v>
      </c>
      <c r="E43" s="181">
        <f t="shared" si="45"/>
        <v>308286.87</v>
      </c>
      <c r="F43" s="181">
        <f t="shared" si="45"/>
        <v>364956.5999999999</v>
      </c>
      <c r="G43" s="181">
        <f t="shared" si="45"/>
        <v>17327.53</v>
      </c>
      <c r="H43" s="181">
        <f t="shared" si="45"/>
        <v>158078.68</v>
      </c>
      <c r="I43" s="181">
        <f t="shared" si="45"/>
        <v>59235.98</v>
      </c>
      <c r="J43" s="181">
        <f>SUM(J8:J42)</f>
        <v>2320685.81</v>
      </c>
      <c r="K43" s="181">
        <f>SUM(K8:K42)</f>
        <v>1254986.44</v>
      </c>
      <c r="L43" s="181">
        <f>SUM(L8:L42)</f>
        <v>1893503</v>
      </c>
      <c r="M43" s="181">
        <f>SUM(M8:M42)</f>
        <v>5469175.25</v>
      </c>
      <c r="N43" s="182">
        <f>SUM(N8:N42)</f>
        <v>4482454</v>
      </c>
      <c r="O43" s="64">
        <f>M43/N43</f>
        <v>1.2201296990443182</v>
      </c>
      <c r="P43" s="180">
        <f>SUM(P9:P42)</f>
        <v>1129341.3969579248</v>
      </c>
      <c r="Q43" s="180">
        <f aca="true" t="shared" si="46" ref="Q43:W43">SUM(Q9:Q42)</f>
        <v>274179.7838046931</v>
      </c>
      <c r="R43" s="180">
        <f t="shared" si="46"/>
        <v>1232278.0856664816</v>
      </c>
      <c r="S43" s="180">
        <f t="shared" si="46"/>
        <v>670803.1488308413</v>
      </c>
      <c r="T43" s="180">
        <f t="shared" si="46"/>
        <v>699853.3571810322</v>
      </c>
      <c r="U43" s="180">
        <f t="shared" si="46"/>
        <v>33912.17615547829</v>
      </c>
      <c r="V43" s="180">
        <f t="shared" si="46"/>
        <v>310937.177867436</v>
      </c>
      <c r="W43" s="180">
        <f t="shared" si="46"/>
        <v>127211.51785146052</v>
      </c>
      <c r="X43" s="180">
        <f>SUM(X8:X42)</f>
        <v>3998675.5752815623</v>
      </c>
      <c r="Y43" s="180">
        <f>SUM(Y9:Y42)</f>
        <v>2493000.0000000005</v>
      </c>
      <c r="Z43" s="180">
        <f>SUM(Z9:Z42)</f>
        <v>1865454.5454545456</v>
      </c>
      <c r="AA43" s="180">
        <f>SUM(AA9:AA42)</f>
        <v>7490705.665054696</v>
      </c>
      <c r="AB43" s="180">
        <f>SUM(AB9:AB42)</f>
        <v>7618136.363636367</v>
      </c>
      <c r="AC43" s="163">
        <f>AA43/AB43</f>
        <v>0.9832727201904738</v>
      </c>
      <c r="AD43" s="179"/>
      <c r="AE43" s="180">
        <f>SUM(AE8:AE42)</f>
        <v>-577941.938277851</v>
      </c>
      <c r="AF43" s="180">
        <f aca="true" t="shared" si="47" ref="AF43:AQ43">SUM(AF8:AF42)</f>
        <v>-134291.198940575</v>
      </c>
      <c r="AG43" s="180">
        <f t="shared" si="47"/>
        <v>-604901.6672974277</v>
      </c>
      <c r="AH43" s="180">
        <f t="shared" si="47"/>
        <v>-386473.53414622863</v>
      </c>
      <c r="AI43" s="180">
        <f t="shared" si="47"/>
        <v>-359891.5199374975</v>
      </c>
      <c r="AJ43" s="180">
        <f t="shared" si="47"/>
        <v>-17795.795303888244</v>
      </c>
      <c r="AK43" s="180">
        <f t="shared" si="47"/>
        <v>-163963.3970769875</v>
      </c>
      <c r="AL43" s="180">
        <f t="shared" si="47"/>
        <v>-72518.80634615557</v>
      </c>
      <c r="AM43" s="180">
        <f>SUM(AM8:AM42)</f>
        <v>-2317777.857326611</v>
      </c>
      <c r="AN43" s="180">
        <f t="shared" si="47"/>
        <v>-1238013.5600000005</v>
      </c>
      <c r="AO43" s="180">
        <f t="shared" si="47"/>
        <v>28048.45454545415</v>
      </c>
      <c r="AP43" s="180">
        <f t="shared" si="47"/>
        <v>-3527742.962781158</v>
      </c>
      <c r="AQ43" s="180">
        <f t="shared" si="47"/>
        <v>-3135682.3636363633</v>
      </c>
      <c r="AR43" s="180">
        <f>AP43/AQ43</f>
        <v>1.12503198783506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>SUM(P8:P37)</f>
        <v>1169675.0182778507</v>
      </c>
      <c r="C44" s="174">
        <f aca="true" t="shared" si="48" ref="C44:J44">SUM(Q8:Q37)</f>
        <v>283971.918940575</v>
      </c>
      <c r="D44" s="174">
        <f t="shared" si="48"/>
        <v>1276288.0172974274</v>
      </c>
      <c r="E44" s="174">
        <f t="shared" si="48"/>
        <v>694760.4041462285</v>
      </c>
      <c r="F44" s="174">
        <f t="shared" si="48"/>
        <v>724848.1199374977</v>
      </c>
      <c r="G44" s="174">
        <f t="shared" si="48"/>
        <v>35123.32530388823</v>
      </c>
      <c r="H44" s="174">
        <f t="shared" si="48"/>
        <v>322042.0770769873</v>
      </c>
      <c r="I44" s="174">
        <f t="shared" si="48"/>
        <v>131754.78634615554</v>
      </c>
      <c r="J44" s="174">
        <f t="shared" si="48"/>
        <v>3998675.5752815623</v>
      </c>
      <c r="K44" s="174">
        <f>SUM(Y8:Y37)</f>
        <v>2493000.0000000005</v>
      </c>
      <c r="L44" s="174">
        <f>SUM(Z8:Z37)</f>
        <v>1865454.5454545456</v>
      </c>
      <c r="M44" s="174">
        <f>SUM(AA8:AA37)</f>
        <v>7490705.665054696</v>
      </c>
      <c r="N44" s="176">
        <f>SUM(AB8:AB37)</f>
        <v>7618136.363636367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>P43-B43</f>
        <v>537608.3169579249</v>
      </c>
      <c r="AF44" s="175">
        <f aca="true" t="shared" si="49" ref="AF44:AQ44">Q43-C43</f>
        <v>124499.06380469305</v>
      </c>
      <c r="AG44" s="175">
        <f t="shared" si="49"/>
        <v>560891.7356664815</v>
      </c>
      <c r="AH44" s="175">
        <f t="shared" si="49"/>
        <v>362516.2788308413</v>
      </c>
      <c r="AI44" s="175">
        <f t="shared" si="49"/>
        <v>334896.75718103227</v>
      </c>
      <c r="AJ44" s="175">
        <f t="shared" si="49"/>
        <v>16584.646155478295</v>
      </c>
      <c r="AK44" s="175">
        <f t="shared" si="49"/>
        <v>152858.49786743603</v>
      </c>
      <c r="AL44" s="175">
        <f t="shared" si="49"/>
        <v>67975.53785146051</v>
      </c>
      <c r="AM44" s="175">
        <f t="shared" si="49"/>
        <v>1677989.7652815622</v>
      </c>
      <c r="AN44" s="175">
        <f t="shared" si="49"/>
        <v>1238013.5600000005</v>
      </c>
      <c r="AO44" s="175">
        <f t="shared" si="49"/>
        <v>-28048.454545454355</v>
      </c>
      <c r="AP44" s="175">
        <f t="shared" si="49"/>
        <v>2021530.4150546957</v>
      </c>
      <c r="AQ44" s="175">
        <f t="shared" si="49"/>
        <v>3135682.363636367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-577941.9382778507</v>
      </c>
      <c r="C45" s="183">
        <f aca="true" t="shared" si="50" ref="C45:N45">C43-C44</f>
        <v>-134291.19894057495</v>
      </c>
      <c r="D45" s="183">
        <f t="shared" si="50"/>
        <v>-604901.6672974273</v>
      </c>
      <c r="E45" s="183">
        <f t="shared" si="50"/>
        <v>-386473.53414622846</v>
      </c>
      <c r="F45" s="183">
        <f t="shared" si="50"/>
        <v>-359891.51993749774</v>
      </c>
      <c r="G45" s="183">
        <f t="shared" si="50"/>
        <v>-17795.795303888233</v>
      </c>
      <c r="H45" s="183">
        <f t="shared" si="50"/>
        <v>-163963.3970769873</v>
      </c>
      <c r="I45" s="183">
        <f t="shared" si="50"/>
        <v>-72518.80634615553</v>
      </c>
      <c r="J45" s="183">
        <f t="shared" si="50"/>
        <v>-1677989.7652815622</v>
      </c>
      <c r="K45" s="183">
        <f t="shared" si="50"/>
        <v>-1238013.5600000005</v>
      </c>
      <c r="L45" s="183">
        <f t="shared" si="50"/>
        <v>28048.454545454355</v>
      </c>
      <c r="M45" s="183">
        <f t="shared" si="50"/>
        <v>-2021530.4150546957</v>
      </c>
      <c r="N45" s="184">
        <f t="shared" si="50"/>
        <v>-3135682.363636367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-40333.62131992611</v>
      </c>
      <c r="AF45" s="82">
        <f aca="true" t="shared" si="51" ref="AF45:AQ45">AF44+AF43</f>
        <v>-9792.135135881952</v>
      </c>
      <c r="AG45" s="82">
        <f t="shared" si="51"/>
        <v>-44009.931630946114</v>
      </c>
      <c r="AH45" s="82">
        <f t="shared" si="51"/>
        <v>-23957.25531538733</v>
      </c>
      <c r="AI45" s="82">
        <f t="shared" si="51"/>
        <v>-24994.762756465236</v>
      </c>
      <c r="AJ45" s="82">
        <f t="shared" si="51"/>
        <v>-1211.1491484099497</v>
      </c>
      <c r="AK45" s="82">
        <f t="shared" si="51"/>
        <v>-11104.899209551455</v>
      </c>
      <c r="AL45" s="82">
        <f t="shared" si="51"/>
        <v>-4543.268494695061</v>
      </c>
      <c r="AM45" s="82">
        <f t="shared" si="51"/>
        <v>-639788.0920450487</v>
      </c>
      <c r="AN45" s="82">
        <f t="shared" si="51"/>
        <v>0</v>
      </c>
      <c r="AO45" s="82">
        <f t="shared" si="51"/>
        <v>-2.0372681319713593E-10</v>
      </c>
      <c r="AP45" s="82">
        <f t="shared" si="51"/>
        <v>-1506212.5477264621</v>
      </c>
      <c r="AQ45" s="82">
        <f t="shared" si="51"/>
        <v>3.725290298461914E-09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>
        <f>X43-X3</f>
        <v>493675.5752815623</v>
      </c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K47" s="8"/>
      <c r="L47" s="8"/>
      <c r="N47" s="8"/>
      <c r="O47" s="8"/>
      <c r="Q47" s="8"/>
      <c r="R47" s="8"/>
      <c r="S47" s="8"/>
      <c r="T47" s="8"/>
      <c r="U47" s="8"/>
      <c r="V47" s="41"/>
      <c r="W47" s="41"/>
      <c r="Y47" s="8">
        <f>X3/20</f>
        <v>175250</v>
      </c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5469175.25</v>
      </c>
      <c r="C48" s="16"/>
      <c r="K48" s="8"/>
      <c r="L48" s="8"/>
      <c r="N48" s="8"/>
      <c r="O48" s="8"/>
      <c r="P48" s="16">
        <f>SUM(P43:W43)</f>
        <v>4478516.644315348</v>
      </c>
    </row>
    <row r="49" spans="1:15" ht="12.75">
      <c r="A49" s="43" t="s">
        <v>64</v>
      </c>
      <c r="B49" s="101">
        <f>N43</f>
        <v>4482454</v>
      </c>
      <c r="K49" s="8"/>
      <c r="L49" s="8"/>
      <c r="N49" s="8"/>
      <c r="O49" s="8"/>
    </row>
    <row r="50" spans="1:16" ht="12.75">
      <c r="A50" s="9" t="s">
        <v>63</v>
      </c>
      <c r="B50" s="102">
        <f>B48/B49</f>
        <v>1.2201296990443182</v>
      </c>
      <c r="K50" s="8"/>
      <c r="L50" s="8"/>
      <c r="N50" s="8"/>
      <c r="O50" s="8"/>
      <c r="P50" s="16">
        <f>P44-P48</f>
        <v>-4478516.644315348</v>
      </c>
    </row>
    <row r="51" spans="11:15" ht="12.75"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1:15" ht="12.75">
      <c r="K53" s="8"/>
      <c r="L53" s="8"/>
      <c r="N53" s="8"/>
      <c r="O53" s="8"/>
    </row>
    <row r="54" spans="11:15" ht="12.75">
      <c r="K54" s="8"/>
      <c r="L54" s="8"/>
      <c r="N54" s="8"/>
      <c r="O54" s="8"/>
    </row>
    <row r="55" spans="11:15" ht="12.75"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mergeCells count="1">
    <mergeCell ref="B3:D3"/>
  </mergeCells>
  <conditionalFormatting sqref="B41:D42 P41:AC42 AM41:AR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B8:H40 AF9:AL38 AE8:AL8">
    <cfRule type="cellIs" priority="10" dxfId="5" operator="equal" stopIfTrue="1">
      <formula>0</formula>
    </cfRule>
    <cfRule type="cellIs" priority="11" dxfId="0" operator="between" stopIfTrue="1">
      <formula>0</formula>
      <formula>#REF!</formula>
    </cfRule>
    <cfRule type="cellIs" priority="12" dxfId="2" operator="greaterThanOrEqual" stopIfTrue="1">
      <formula>#REF!</formula>
    </cfRule>
  </conditionalFormatting>
  <conditionalFormatting sqref="I8:I40 N44 K8:L40 O43 AQ39 AR8 AM8:AQ10 N8:O40">
    <cfRule type="cellIs" priority="13" dxfId="2" operator="greaterThanOrEqual" stopIfTrue="1">
      <formula>#REF!</formula>
    </cfRule>
    <cfRule type="cellIs" priority="14" dxfId="1" operator="between" stopIfTrue="1">
      <formula>#REF!</formula>
      <formula>#REF!</formula>
    </cfRule>
    <cfRule type="cellIs" priority="15" dxfId="0" operator="between" stopIfTrue="1">
      <formula>#REF!</formula>
      <formula>0.1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376"/>
  <sheetViews>
    <sheetView workbookViewId="0" topLeftCell="A1">
      <selection activeCell="A8" sqref="A8"/>
    </sheetView>
  </sheetViews>
  <sheetFormatPr defaultColWidth="9.140625" defaultRowHeight="12.75"/>
  <cols>
    <col min="1" max="1" width="29.57421875" style="0" customWidth="1"/>
    <col min="2" max="2" width="13.00390625" style="0" customWidth="1"/>
    <col min="3" max="3" width="12.7109375" style="0" bestFit="1" customWidth="1"/>
    <col min="4" max="4" width="13.140625" style="0" bestFit="1" customWidth="1"/>
    <col min="5" max="5" width="14.8515625" style="0" bestFit="1" customWidth="1"/>
    <col min="6" max="6" width="14.57421875" style="0" customWidth="1"/>
    <col min="7" max="7" width="13.00390625" style="0" customWidth="1"/>
    <col min="8" max="8" width="11.140625" style="0" bestFit="1" customWidth="1"/>
    <col min="9" max="9" width="11.28125" style="0" customWidth="1"/>
    <col min="10" max="10" width="14.7109375" style="8" customWidth="1"/>
    <col min="11" max="11" width="20.00390625" style="83" customWidth="1"/>
    <col min="12" max="12" width="14.7109375" style="83" customWidth="1"/>
    <col min="13" max="13" width="14.7109375" style="8" customWidth="1"/>
    <col min="14" max="14" width="19.28125" style="83" bestFit="1" customWidth="1"/>
    <col min="15" max="15" width="23.7109375" style="4" customWidth="1"/>
    <col min="16" max="16" width="11.28125" style="0" customWidth="1"/>
    <col min="17" max="20" width="14.7109375" style="4" customWidth="1"/>
    <col min="21" max="21" width="8.00390625" style="0" customWidth="1"/>
    <col min="22" max="22" width="12.00390625" style="5" bestFit="1" customWidth="1"/>
    <col min="23" max="23" width="12.57421875" style="5" bestFit="1" customWidth="1"/>
    <col min="24" max="24" width="14.7109375" style="8" customWidth="1"/>
    <col min="25" max="25" width="19.57421875" style="8" customWidth="1"/>
    <col min="26" max="27" width="14.7109375" style="8" customWidth="1"/>
    <col min="28" max="28" width="19.421875" style="8" customWidth="1"/>
    <col min="29" max="29" width="22.57421875" style="68" customWidth="1"/>
    <col min="30" max="30" width="11.8515625" style="5" bestFit="1" customWidth="1"/>
    <col min="31" max="32" width="13.28125" style="5" bestFit="1" customWidth="1"/>
    <col min="33" max="33" width="12.8515625" style="5" customWidth="1"/>
    <col min="34" max="34" width="13.140625" style="5" customWidth="1"/>
    <col min="35" max="35" width="12.00390625" style="5" customWidth="1"/>
    <col min="36" max="36" width="12.140625" style="5" customWidth="1"/>
    <col min="37" max="37" width="11.28125" style="5" customWidth="1"/>
    <col min="38" max="38" width="12.140625" style="0" bestFit="1" customWidth="1"/>
    <col min="39" max="39" width="14.7109375" style="8" customWidth="1"/>
    <col min="40" max="40" width="20.140625" style="8" customWidth="1"/>
    <col min="41" max="42" width="14.7109375" style="8" customWidth="1"/>
    <col min="43" max="43" width="23.57421875" style="8" customWidth="1"/>
    <col min="44" max="44" width="22.57421875" style="68" hidden="1" customWidth="1"/>
    <col min="45" max="130" width="9.140625" style="2" customWidth="1"/>
  </cols>
  <sheetData>
    <row r="1" spans="1:39" ht="12.75">
      <c r="A1" s="192" t="s">
        <v>117</v>
      </c>
      <c r="K1" s="8"/>
      <c r="L1" s="8"/>
      <c r="N1" s="8"/>
      <c r="O1" s="4" t="s">
        <v>159</v>
      </c>
      <c r="P1">
        <f>2563+11983</f>
        <v>14546</v>
      </c>
      <c r="Q1" s="4">
        <f>629+688+681</f>
        <v>1998</v>
      </c>
      <c r="R1" s="4">
        <f>1571+550+1655+51+1284</f>
        <v>5111</v>
      </c>
      <c r="S1" s="4">
        <f>2159+2462+1050+3141+250+231+4350</f>
        <v>13643</v>
      </c>
      <c r="T1" s="4">
        <f>319+166+1512+1138+75+3484+1541</f>
        <v>8235</v>
      </c>
      <c r="U1">
        <v>924</v>
      </c>
      <c r="V1" s="5">
        <v>3262</v>
      </c>
      <c r="W1" s="5">
        <v>1272</v>
      </c>
      <c r="X1" s="8">
        <f>SUM(P1:W1)</f>
        <v>48991</v>
      </c>
      <c r="AM1" s="8">
        <f>SUM(AE1:AL1)</f>
        <v>0</v>
      </c>
    </row>
    <row r="2" spans="11:43" ht="12.75">
      <c r="K2" s="8"/>
      <c r="L2" s="8"/>
      <c r="N2" s="8"/>
      <c r="O2" s="4" t="s">
        <v>160</v>
      </c>
      <c r="P2" s="67">
        <f>P1/$X$1</f>
        <v>0.29691167765507953</v>
      </c>
      <c r="Q2" s="67">
        <f aca="true" t="shared" si="0" ref="Q2:W2">Q1/$X$1</f>
        <v>0.04078300095935988</v>
      </c>
      <c r="R2" s="67">
        <f t="shared" si="0"/>
        <v>0.10432528423588006</v>
      </c>
      <c r="S2" s="67">
        <f t="shared" si="0"/>
        <v>0.27847972076503846</v>
      </c>
      <c r="T2" s="67">
        <f t="shared" si="0"/>
        <v>0.16809209854871304</v>
      </c>
      <c r="U2" s="67">
        <f t="shared" si="0"/>
        <v>0.01886060705027454</v>
      </c>
      <c r="V2" s="67">
        <f t="shared" si="0"/>
        <v>0.06658365822293891</v>
      </c>
      <c r="W2" s="67">
        <f t="shared" si="0"/>
        <v>0.025963952562715602</v>
      </c>
      <c r="X2" s="68">
        <f>SUM(P2:W2)</f>
        <v>1</v>
      </c>
      <c r="Y2" s="68"/>
      <c r="Z2" s="68"/>
      <c r="AA2" s="68"/>
      <c r="AB2" s="68"/>
      <c r="AM2" s="68">
        <f>SUM(AE2:AL2)</f>
        <v>0</v>
      </c>
      <c r="AN2" s="68"/>
      <c r="AO2" s="68"/>
      <c r="AP2" s="68"/>
      <c r="AQ2" s="68"/>
    </row>
    <row r="3" spans="1:44" ht="20.25">
      <c r="A3" s="50" t="s">
        <v>48</v>
      </c>
      <c r="B3" s="264"/>
      <c r="C3" s="264"/>
      <c r="D3" s="264"/>
      <c r="E3" s="44" t="s">
        <v>59</v>
      </c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>
        <v>22</v>
      </c>
      <c r="R3" s="45"/>
      <c r="S3" s="45"/>
      <c r="T3" s="45"/>
      <c r="X3" s="45">
        <f>(3429)*1000</f>
        <v>3429000</v>
      </c>
      <c r="Y3" s="196">
        <f>4551000-Z3</f>
        <v>2275500</v>
      </c>
      <c r="Z3" s="196">
        <f>4551000/2</f>
        <v>2275500</v>
      </c>
      <c r="AA3" s="45">
        <f>SUM(X3:Z3)</f>
        <v>7980000</v>
      </c>
      <c r="AB3" s="45">
        <v>8207000</v>
      </c>
      <c r="AC3" s="69"/>
      <c r="AI3" s="41"/>
      <c r="AJ3" s="41"/>
      <c r="AK3" s="41"/>
      <c r="AL3" s="8"/>
      <c r="AM3" s="45"/>
      <c r="AN3" s="45"/>
      <c r="AO3" s="45"/>
      <c r="AP3" s="45"/>
      <c r="AQ3" s="45"/>
      <c r="AR3" s="69"/>
    </row>
    <row r="4" spans="1:44" ht="12.75">
      <c r="A4" s="58" t="s">
        <v>166</v>
      </c>
      <c r="B4" s="10"/>
      <c r="C4" s="10"/>
      <c r="D4" s="10"/>
      <c r="E4" s="10"/>
      <c r="F4" s="10"/>
      <c r="G4" s="10"/>
      <c r="H4" s="10"/>
      <c r="I4" s="11"/>
      <c r="J4" s="41"/>
      <c r="K4" s="86"/>
      <c r="L4" s="86"/>
      <c r="M4" s="41"/>
      <c r="N4" s="84"/>
      <c r="O4" s="38"/>
      <c r="P4" s="10"/>
      <c r="Q4" s="10"/>
      <c r="R4" s="10"/>
      <c r="S4" s="10"/>
      <c r="T4" s="10"/>
      <c r="U4" s="10"/>
      <c r="V4" s="10"/>
      <c r="W4" s="11"/>
      <c r="X4" s="41"/>
      <c r="Y4" s="41"/>
      <c r="Z4" s="41"/>
      <c r="AA4" s="41"/>
      <c r="AB4" s="41"/>
      <c r="AC4" s="70"/>
      <c r="AE4" s="10"/>
      <c r="AF4" s="10"/>
      <c r="AG4" s="10"/>
      <c r="AH4" s="10"/>
      <c r="AI4" s="10"/>
      <c r="AJ4" s="10"/>
      <c r="AK4" s="10"/>
      <c r="AL4" s="11"/>
      <c r="AM4" s="41"/>
      <c r="AN4" s="41"/>
      <c r="AO4" s="41"/>
      <c r="AP4" s="41"/>
      <c r="AQ4" s="41"/>
      <c r="AR4" s="70"/>
    </row>
    <row r="5" spans="1:44" ht="18">
      <c r="A5" s="46"/>
      <c r="B5" s="12"/>
      <c r="C5" s="12"/>
      <c r="D5" s="12"/>
      <c r="E5" s="12"/>
      <c r="F5" s="13" t="s">
        <v>49</v>
      </c>
      <c r="G5" s="12"/>
      <c r="H5" s="12"/>
      <c r="I5" s="14"/>
      <c r="J5" s="41"/>
      <c r="K5" s="86"/>
      <c r="L5" s="86"/>
      <c r="M5" s="41"/>
      <c r="N5" s="85"/>
      <c r="O5" s="39"/>
      <c r="P5" s="12"/>
      <c r="Q5" s="12"/>
      <c r="R5" s="12"/>
      <c r="S5" s="12"/>
      <c r="T5" s="13" t="s">
        <v>52</v>
      </c>
      <c r="U5" s="12"/>
      <c r="V5" s="12"/>
      <c r="W5" s="14"/>
      <c r="X5" s="41">
        <v>22</v>
      </c>
      <c r="Y5" s="41"/>
      <c r="Z5" s="41"/>
      <c r="AA5" s="41"/>
      <c r="AB5" s="41"/>
      <c r="AC5" s="70"/>
      <c r="AE5" s="12"/>
      <c r="AF5" s="12"/>
      <c r="AG5" s="12"/>
      <c r="AH5" s="12"/>
      <c r="AI5" s="13" t="s">
        <v>53</v>
      </c>
      <c r="AJ5" s="12"/>
      <c r="AK5" s="12"/>
      <c r="AL5" s="14"/>
      <c r="AM5" s="41">
        <v>20</v>
      </c>
      <c r="AN5" s="41"/>
      <c r="AO5" s="41"/>
      <c r="AP5" s="41"/>
      <c r="AQ5" s="41"/>
      <c r="AR5" s="70"/>
    </row>
    <row r="6" spans="1:44" ht="12.75">
      <c r="A6" s="47"/>
      <c r="B6" s="15"/>
      <c r="C6" s="15"/>
      <c r="D6" s="15"/>
      <c r="E6" s="12"/>
      <c r="F6" s="12"/>
      <c r="G6" s="12"/>
      <c r="H6" s="12"/>
      <c r="I6" s="14"/>
      <c r="J6" s="41"/>
      <c r="K6" s="86" t="s">
        <v>57</v>
      </c>
      <c r="L6" s="86" t="s">
        <v>58</v>
      </c>
      <c r="M6" s="41"/>
      <c r="N6" s="85" t="s">
        <v>56</v>
      </c>
      <c r="O6" s="39"/>
      <c r="P6" s="15"/>
      <c r="Q6" s="15"/>
      <c r="R6" s="15"/>
      <c r="S6" s="12"/>
      <c r="T6" s="12"/>
      <c r="U6" s="12"/>
      <c r="V6" s="12"/>
      <c r="W6" s="14"/>
      <c r="X6" s="41"/>
      <c r="Y6" s="41"/>
      <c r="Z6" s="41"/>
      <c r="AA6" s="41"/>
      <c r="AB6" s="41"/>
      <c r="AC6" s="70"/>
      <c r="AE6" s="15"/>
      <c r="AF6" s="15"/>
      <c r="AG6" s="15"/>
      <c r="AH6" s="12"/>
      <c r="AI6" s="12"/>
      <c r="AJ6" s="12"/>
      <c r="AK6" s="12"/>
      <c r="AL6" s="14"/>
      <c r="AM6" s="41"/>
      <c r="AN6" s="41"/>
      <c r="AO6" s="41"/>
      <c r="AP6" s="41"/>
      <c r="AQ6" s="41"/>
      <c r="AR6" s="70"/>
    </row>
    <row r="7" spans="1:44" ht="25.5">
      <c r="A7" s="48" t="s">
        <v>62</v>
      </c>
      <c r="B7" s="1" t="s">
        <v>43</v>
      </c>
      <c r="C7" s="1" t="s">
        <v>40</v>
      </c>
      <c r="D7" s="1" t="s">
        <v>41</v>
      </c>
      <c r="E7" s="1" t="s">
        <v>45</v>
      </c>
      <c r="F7" s="1" t="s">
        <v>46</v>
      </c>
      <c r="G7" s="1" t="s">
        <v>44</v>
      </c>
      <c r="H7" s="1" t="s">
        <v>42</v>
      </c>
      <c r="I7" s="59" t="s">
        <v>47</v>
      </c>
      <c r="J7" s="39" t="s">
        <v>54</v>
      </c>
      <c r="K7" s="172" t="s">
        <v>114</v>
      </c>
      <c r="L7" s="85" t="s">
        <v>113</v>
      </c>
      <c r="M7" s="39" t="s">
        <v>55</v>
      </c>
      <c r="N7" s="85" t="s">
        <v>50</v>
      </c>
      <c r="O7" s="40" t="s">
        <v>51</v>
      </c>
      <c r="P7" s="1" t="s">
        <v>43</v>
      </c>
      <c r="Q7" s="1" t="s">
        <v>40</v>
      </c>
      <c r="R7" s="1" t="s">
        <v>41</v>
      </c>
      <c r="S7" s="1" t="s">
        <v>45</v>
      </c>
      <c r="T7" s="1" t="s">
        <v>46</v>
      </c>
      <c r="U7" s="1" t="s">
        <v>44</v>
      </c>
      <c r="V7" s="1" t="s">
        <v>42</v>
      </c>
      <c r="W7" s="59" t="s">
        <v>47</v>
      </c>
      <c r="X7" s="39" t="s">
        <v>54</v>
      </c>
      <c r="Y7" s="173" t="s">
        <v>114</v>
      </c>
      <c r="Z7" s="38" t="s">
        <v>113</v>
      </c>
      <c r="AA7" s="39" t="s">
        <v>55</v>
      </c>
      <c r="AB7" s="39" t="s">
        <v>50</v>
      </c>
      <c r="AC7" s="71" t="s">
        <v>51</v>
      </c>
      <c r="AE7" s="1" t="s">
        <v>60</v>
      </c>
      <c r="AF7" s="1" t="s">
        <v>40</v>
      </c>
      <c r="AG7" s="1" t="s">
        <v>41</v>
      </c>
      <c r="AH7" s="1" t="s">
        <v>45</v>
      </c>
      <c r="AI7" s="1" t="s">
        <v>46</v>
      </c>
      <c r="AJ7" s="1" t="s">
        <v>44</v>
      </c>
      <c r="AK7" s="1" t="s">
        <v>42</v>
      </c>
      <c r="AL7" s="59" t="s">
        <v>47</v>
      </c>
      <c r="AM7" s="39" t="s">
        <v>54</v>
      </c>
      <c r="AN7" s="173" t="s">
        <v>114</v>
      </c>
      <c r="AO7" s="38" t="s">
        <v>113</v>
      </c>
      <c r="AP7" s="39" t="s">
        <v>55</v>
      </c>
      <c r="AQ7" s="39" t="s">
        <v>50</v>
      </c>
      <c r="AR7" s="71" t="s">
        <v>51</v>
      </c>
    </row>
    <row r="8" spans="1:44" s="60" customFormat="1" ht="12.75">
      <c r="A8" s="89">
        <f>'[10]MONTH8'!$A2</f>
        <v>0</v>
      </c>
      <c r="B8" s="51">
        <f>'[10]MONTH8'!B2</f>
        <v>0</v>
      </c>
      <c r="C8" s="51">
        <f>'[10]MONTH8'!C2</f>
        <v>0</v>
      </c>
      <c r="D8" s="51">
        <f>'[10]MONTH8'!D2</f>
        <v>0</v>
      </c>
      <c r="E8" s="51">
        <f>'[10]MONTH8'!E2</f>
        <v>0</v>
      </c>
      <c r="F8" s="51">
        <f>'[10]MONTH8'!F2</f>
        <v>0</v>
      </c>
      <c r="G8" s="51">
        <f>'[10]MONTH8'!G2</f>
        <v>0</v>
      </c>
      <c r="H8" s="51">
        <f>'[10]MONTH8'!H2</f>
        <v>0</v>
      </c>
      <c r="I8" s="51">
        <f>'[10]MONTH8'!I2</f>
        <v>0</v>
      </c>
      <c r="J8" s="78">
        <f>SUM(B8:I8)</f>
        <v>0</v>
      </c>
      <c r="K8" s="52">
        <f>'[10]MONTH8'!J2</f>
        <v>0</v>
      </c>
      <c r="L8" s="52">
        <f>'[10]MONTH8'!K2</f>
        <v>0</v>
      </c>
      <c r="M8" s="78">
        <f>SUM(J8:L8)</f>
        <v>0</v>
      </c>
      <c r="N8" s="52">
        <f>'[10]MONTH8'!L2</f>
        <v>0</v>
      </c>
      <c r="O8" s="64" t="e">
        <f>M8/N8</f>
        <v>#DIV/0!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6"/>
      <c r="AD8" s="77"/>
      <c r="AE8" s="51">
        <f>B8-P8</f>
        <v>0</v>
      </c>
      <c r="AF8" s="51">
        <f>C8-Q8</f>
        <v>0</v>
      </c>
      <c r="AG8" s="51">
        <f aca="true" t="shared" si="1" ref="AG8:AL23">D8-R8</f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96">
        <f aca="true" t="shared" si="2" ref="AM8:AM22">SUM(AE8:AL8)</f>
        <v>0</v>
      </c>
      <c r="AN8" s="96">
        <f>K8-Y8</f>
        <v>0</v>
      </c>
      <c r="AO8" s="96">
        <f>L8-Z8</f>
        <v>0</v>
      </c>
      <c r="AP8" s="96">
        <f aca="true" t="shared" si="3" ref="AP8:AP38">SUM(AM8:AO8)</f>
        <v>0</v>
      </c>
      <c r="AQ8" s="96">
        <f>N8-AB8</f>
        <v>0</v>
      </c>
      <c r="AR8" s="96"/>
    </row>
    <row r="9" spans="1:44" s="60" customFormat="1" ht="12.75">
      <c r="A9" s="89">
        <f>'[10]MONTH8'!$A3</f>
        <v>0</v>
      </c>
      <c r="B9" s="51">
        <f>'[10]MONTH8'!B3</f>
        <v>0</v>
      </c>
      <c r="C9" s="51">
        <f>'[10]MONTH8'!C3</f>
        <v>0</v>
      </c>
      <c r="D9" s="51">
        <f>'[10]MONTH8'!D3</f>
        <v>0</v>
      </c>
      <c r="E9" s="51">
        <f>'[10]MONTH8'!E3</f>
        <v>0</v>
      </c>
      <c r="F9" s="51">
        <f>'[10]MONTH8'!F3</f>
        <v>0</v>
      </c>
      <c r="G9" s="51">
        <f>'[10]MONTH8'!G3</f>
        <v>0</v>
      </c>
      <c r="H9" s="51">
        <f>'[10]MONTH8'!H3</f>
        <v>0</v>
      </c>
      <c r="I9" s="51">
        <f>'[10]MONTH8'!I3</f>
        <v>0</v>
      </c>
      <c r="J9" s="78">
        <f>SUM(B9:I9)</f>
        <v>0</v>
      </c>
      <c r="K9" s="52">
        <f>'[10]MONTH8'!J3</f>
        <v>0</v>
      </c>
      <c r="L9" s="52">
        <f>'[10]MONTH8'!K3</f>
        <v>0</v>
      </c>
      <c r="M9" s="78">
        <f>SUM(J9:L9)</f>
        <v>0</v>
      </c>
      <c r="N9" s="52">
        <f>'[10]MONTH8'!L3</f>
        <v>0</v>
      </c>
      <c r="O9" s="64" t="e">
        <f>M9/N9</f>
        <v>#DIV/0!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6"/>
      <c r="AD9" s="77"/>
      <c r="AE9" s="78">
        <f aca="true" t="shared" si="4" ref="AE9:AL39">B9-P9</f>
        <v>0</v>
      </c>
      <c r="AF9" s="51">
        <f t="shared" si="4"/>
        <v>0</v>
      </c>
      <c r="AG9" s="51">
        <f t="shared" si="1"/>
        <v>0</v>
      </c>
      <c r="AH9" s="51">
        <f t="shared" si="1"/>
        <v>0</v>
      </c>
      <c r="AI9" s="51">
        <f t="shared" si="1"/>
        <v>0</v>
      </c>
      <c r="AJ9" s="51">
        <f t="shared" si="1"/>
        <v>0</v>
      </c>
      <c r="AK9" s="51">
        <f t="shared" si="1"/>
        <v>0</v>
      </c>
      <c r="AL9" s="51">
        <f t="shared" si="1"/>
        <v>0</v>
      </c>
      <c r="AM9" s="96">
        <f t="shared" si="2"/>
        <v>0</v>
      </c>
      <c r="AN9" s="96">
        <f aca="true" t="shared" si="5" ref="AN9:AO38">K9-Y9</f>
        <v>0</v>
      </c>
      <c r="AO9" s="96">
        <f t="shared" si="5"/>
        <v>0</v>
      </c>
      <c r="AP9" s="96">
        <f t="shared" si="3"/>
        <v>0</v>
      </c>
      <c r="AQ9" s="96">
        <f aca="true" t="shared" si="6" ref="AQ9:AQ39">N9-AB9</f>
        <v>0</v>
      </c>
      <c r="AR9" s="78"/>
    </row>
    <row r="10" spans="1:44" s="60" customFormat="1" ht="12.75">
      <c r="A10" s="89">
        <f>'[10]MONTH8'!$A4</f>
        <v>0</v>
      </c>
      <c r="B10" s="51">
        <f>'[10]MONTH8'!B4</f>
        <v>0</v>
      </c>
      <c r="C10" s="51">
        <f>'[10]MONTH8'!C4</f>
        <v>0</v>
      </c>
      <c r="D10" s="51">
        <f>'[10]MONTH8'!D4</f>
        <v>0</v>
      </c>
      <c r="E10" s="51">
        <f>'[10]MONTH8'!E4</f>
        <v>0</v>
      </c>
      <c r="F10" s="51">
        <f>'[10]MONTH8'!F4</f>
        <v>0</v>
      </c>
      <c r="G10" s="51">
        <f>'[10]MONTH8'!G4</f>
        <v>0</v>
      </c>
      <c r="H10" s="51">
        <f>'[10]MONTH8'!H4</f>
        <v>0</v>
      </c>
      <c r="I10" s="51">
        <f>'[10]MONTH8'!I4</f>
        <v>0</v>
      </c>
      <c r="J10" s="78">
        <f aca="true" t="shared" si="7" ref="J10:J39">SUM(B10:I10)</f>
        <v>0</v>
      </c>
      <c r="K10" s="52">
        <f>'[10]MONTH8'!J4</f>
        <v>0</v>
      </c>
      <c r="L10" s="52">
        <f>'[10]MONTH8'!K4</f>
        <v>0</v>
      </c>
      <c r="M10" s="78">
        <f aca="true" t="shared" si="8" ref="M10:M39">SUM(J10:L10)</f>
        <v>0</v>
      </c>
      <c r="N10" s="52">
        <f>'[10]MONTH8'!L4</f>
        <v>0</v>
      </c>
      <c r="O10" s="64" t="e">
        <f aca="true" t="shared" si="9" ref="O10:O39">M10/N10</f>
        <v>#DIV/0!</v>
      </c>
      <c r="P10" s="78">
        <f>$X$3/$X$5*($P$1/$X$1)</f>
        <v>46277.733758148526</v>
      </c>
      <c r="Q10" s="78">
        <f aca="true" t="shared" si="10" ref="Q10:Q17">$X$3/$X$5*($Q$1/$X$1)</f>
        <v>6356.586831347501</v>
      </c>
      <c r="R10" s="78">
        <f aca="true" t="shared" si="11" ref="R10:R17">$X$3/$X$5*($R$1/$X$1)</f>
        <v>16260.518165674213</v>
      </c>
      <c r="S10" s="78">
        <f aca="true" t="shared" si="12" ref="S10:S17">$X$3/$X$5*($S$1/$X$1)</f>
        <v>43404.861931968946</v>
      </c>
      <c r="T10" s="78">
        <f aca="true" t="shared" si="13" ref="T10:T17">$X$3/$X$5*($T$1/$X$1)</f>
        <v>26199.445723797136</v>
      </c>
      <c r="U10" s="78">
        <f aca="true" t="shared" si="14" ref="U10:U17">$X$3/$X$5*($U$1/$X$1)</f>
        <v>2939.682798881427</v>
      </c>
      <c r="V10" s="78">
        <f aca="true" t="shared" si="15" ref="V10:V17">$X$3/$X$5*($V$1/$X$1)</f>
        <v>10377.971093020795</v>
      </c>
      <c r="W10" s="78">
        <f>$X$3/$X$5*($W$1/$X$1)</f>
        <v>4046.836060797809</v>
      </c>
      <c r="X10" s="78">
        <f>SUM(P10:W10)</f>
        <v>155863.63636363635</v>
      </c>
      <c r="Y10" s="78">
        <f>$Y$3/$X$5</f>
        <v>103431.81818181818</v>
      </c>
      <c r="Z10" s="78">
        <f aca="true" t="shared" si="16" ref="Z10:Z17">$Z$3/$X$5</f>
        <v>103431.81818181818</v>
      </c>
      <c r="AA10" s="78">
        <f>SUM(X10:Z10)</f>
        <v>362727.2727272727</v>
      </c>
      <c r="AB10" s="78">
        <f>$AB$3/$X$5</f>
        <v>373045.45454545453</v>
      </c>
      <c r="AC10" s="76">
        <f aca="true" t="shared" si="17" ref="AC10:AC17">AA10/AB10</f>
        <v>0.9723406847812842</v>
      </c>
      <c r="AD10" s="77"/>
      <c r="AE10" s="78">
        <f t="shared" si="4"/>
        <v>-46277.733758148526</v>
      </c>
      <c r="AF10" s="51">
        <f t="shared" si="4"/>
        <v>-6356.586831347501</v>
      </c>
      <c r="AG10" s="51">
        <f t="shared" si="1"/>
        <v>-16260.518165674213</v>
      </c>
      <c r="AH10" s="51">
        <f t="shared" si="1"/>
        <v>-43404.861931968946</v>
      </c>
      <c r="AI10" s="51">
        <f t="shared" si="1"/>
        <v>-26199.445723797136</v>
      </c>
      <c r="AJ10" s="51">
        <f t="shared" si="1"/>
        <v>-2939.682798881427</v>
      </c>
      <c r="AK10" s="51">
        <f t="shared" si="1"/>
        <v>-10377.971093020795</v>
      </c>
      <c r="AL10" s="51">
        <f t="shared" si="1"/>
        <v>-4046.836060797809</v>
      </c>
      <c r="AM10" s="96">
        <f t="shared" si="2"/>
        <v>-155863.63636363635</v>
      </c>
      <c r="AN10" s="96">
        <f t="shared" si="5"/>
        <v>-103431.81818181818</v>
      </c>
      <c r="AO10" s="96">
        <f t="shared" si="5"/>
        <v>-103431.81818181818</v>
      </c>
      <c r="AP10" s="96">
        <f t="shared" si="3"/>
        <v>-362727.2727272727</v>
      </c>
      <c r="AQ10" s="96">
        <f t="shared" si="6"/>
        <v>-373045.45454545453</v>
      </c>
      <c r="AR10" s="78"/>
    </row>
    <row r="11" spans="1:44" s="60" customFormat="1" ht="12.75">
      <c r="A11" s="89">
        <f>'[10]MONTH8'!$A5</f>
        <v>0</v>
      </c>
      <c r="B11" s="51">
        <f>'[10]MONTH8'!B5</f>
        <v>0</v>
      </c>
      <c r="C11" s="51">
        <f>'[10]MONTH8'!C5</f>
        <v>0</v>
      </c>
      <c r="D11" s="51">
        <f>'[10]MONTH8'!D5</f>
        <v>0</v>
      </c>
      <c r="E11" s="51">
        <f>'[10]MONTH8'!E5</f>
        <v>0</v>
      </c>
      <c r="F11" s="51">
        <f>'[10]MONTH8'!F5</f>
        <v>0</v>
      </c>
      <c r="G11" s="51">
        <f>'[10]MONTH8'!G5</f>
        <v>0</v>
      </c>
      <c r="H11" s="51">
        <f>'[10]MONTH8'!H5</f>
        <v>0</v>
      </c>
      <c r="I11" s="51">
        <f>'[10]MONTH8'!I5</f>
        <v>0</v>
      </c>
      <c r="J11" s="78">
        <f t="shared" si="7"/>
        <v>0</v>
      </c>
      <c r="K11" s="52">
        <f>'[10]MONTH8'!J5</f>
        <v>0</v>
      </c>
      <c r="L11" s="52">
        <f>'[10]MONTH8'!K5</f>
        <v>0</v>
      </c>
      <c r="M11" s="78">
        <f t="shared" si="8"/>
        <v>0</v>
      </c>
      <c r="N11" s="52">
        <f>'[10]MONTH8'!L5</f>
        <v>0</v>
      </c>
      <c r="O11" s="64" t="e">
        <f t="shared" si="9"/>
        <v>#DIV/0!</v>
      </c>
      <c r="P11" s="78">
        <f>$X$3/$X$5*($P$1/$X$1)</f>
        <v>46277.733758148526</v>
      </c>
      <c r="Q11" s="78">
        <f t="shared" si="10"/>
        <v>6356.586831347501</v>
      </c>
      <c r="R11" s="78">
        <f t="shared" si="11"/>
        <v>16260.518165674213</v>
      </c>
      <c r="S11" s="78">
        <f t="shared" si="12"/>
        <v>43404.861931968946</v>
      </c>
      <c r="T11" s="78">
        <f t="shared" si="13"/>
        <v>26199.445723797136</v>
      </c>
      <c r="U11" s="78">
        <f t="shared" si="14"/>
        <v>2939.682798881427</v>
      </c>
      <c r="V11" s="78">
        <f t="shared" si="15"/>
        <v>10377.971093020795</v>
      </c>
      <c r="W11" s="78">
        <f aca="true" t="shared" si="18" ref="W11:W17">$X$3/$X$5*($W$1/$X$1)</f>
        <v>4046.836060797809</v>
      </c>
      <c r="X11" s="78">
        <f>SUM(P11:W11)</f>
        <v>155863.63636363635</v>
      </c>
      <c r="Y11" s="78">
        <f aca="true" t="shared" si="19" ref="Y11:Y17">$Y$3/$X$5</f>
        <v>103431.81818181818</v>
      </c>
      <c r="Z11" s="78">
        <f t="shared" si="16"/>
        <v>103431.81818181818</v>
      </c>
      <c r="AA11" s="78">
        <f>SUM(X11:Z11)</f>
        <v>362727.2727272727</v>
      </c>
      <c r="AB11" s="78">
        <f aca="true" t="shared" si="20" ref="AB11:AB17">$AB$3/$X$5</f>
        <v>373045.45454545453</v>
      </c>
      <c r="AC11" s="76">
        <f t="shared" si="17"/>
        <v>0.9723406847812842</v>
      </c>
      <c r="AD11" s="77"/>
      <c r="AE11" s="78">
        <f t="shared" si="4"/>
        <v>-46277.733758148526</v>
      </c>
      <c r="AF11" s="51">
        <f t="shared" si="4"/>
        <v>-6356.586831347501</v>
      </c>
      <c r="AG11" s="51">
        <f t="shared" si="1"/>
        <v>-16260.518165674213</v>
      </c>
      <c r="AH11" s="51">
        <f t="shared" si="1"/>
        <v>-43404.861931968946</v>
      </c>
      <c r="AI11" s="51">
        <f t="shared" si="1"/>
        <v>-26199.445723797136</v>
      </c>
      <c r="AJ11" s="51">
        <f t="shared" si="1"/>
        <v>-2939.682798881427</v>
      </c>
      <c r="AK11" s="51">
        <f t="shared" si="1"/>
        <v>-10377.971093020795</v>
      </c>
      <c r="AL11" s="51">
        <f t="shared" si="1"/>
        <v>-4046.836060797809</v>
      </c>
      <c r="AM11" s="78">
        <f t="shared" si="2"/>
        <v>-155863.63636363635</v>
      </c>
      <c r="AN11" s="78">
        <f t="shared" si="5"/>
        <v>-103431.81818181818</v>
      </c>
      <c r="AO11" s="78">
        <f t="shared" si="5"/>
        <v>-103431.81818181818</v>
      </c>
      <c r="AP11" s="78">
        <f t="shared" si="3"/>
        <v>-362727.2727272727</v>
      </c>
      <c r="AQ11" s="78">
        <f t="shared" si="6"/>
        <v>-373045.45454545453</v>
      </c>
      <c r="AR11" s="78">
        <f>AP11/AQ11</f>
        <v>0.9723406847812842</v>
      </c>
    </row>
    <row r="12" spans="1:44" s="95" customFormat="1" ht="12.75">
      <c r="A12" s="89">
        <f>'[10]MONTH8'!$A6</f>
        <v>0</v>
      </c>
      <c r="B12" s="51">
        <f>'[10]MONTH8'!B6</f>
        <v>0</v>
      </c>
      <c r="C12" s="51">
        <f>'[10]MONTH8'!C6</f>
        <v>0</v>
      </c>
      <c r="D12" s="51">
        <f>'[10]MONTH8'!D6</f>
        <v>0</v>
      </c>
      <c r="E12" s="51">
        <f>'[10]MONTH8'!E6</f>
        <v>0</v>
      </c>
      <c r="F12" s="51">
        <f>'[10]MONTH8'!F6</f>
        <v>0</v>
      </c>
      <c r="G12" s="51">
        <f>'[10]MONTH8'!G6</f>
        <v>0</v>
      </c>
      <c r="H12" s="51">
        <f>'[10]MONTH8'!H6</f>
        <v>0</v>
      </c>
      <c r="I12" s="51">
        <f>'[10]MONTH8'!I6</f>
        <v>0</v>
      </c>
      <c r="J12" s="91">
        <f t="shared" si="7"/>
        <v>0</v>
      </c>
      <c r="K12" s="52">
        <f>'[10]MONTH8'!J6</f>
        <v>0</v>
      </c>
      <c r="L12" s="52">
        <f>'[10]MONTH8'!K6</f>
        <v>0</v>
      </c>
      <c r="M12" s="91">
        <f t="shared" si="8"/>
        <v>0</v>
      </c>
      <c r="N12" s="52">
        <f>'[10]MONTH8'!L6</f>
        <v>0</v>
      </c>
      <c r="O12" s="92" t="e">
        <f t="shared" si="9"/>
        <v>#DIV/0!</v>
      </c>
      <c r="P12" s="91">
        <f>$X$3/$X$5*($P$1/$X$1)</f>
        <v>46277.733758148526</v>
      </c>
      <c r="Q12" s="91">
        <f t="shared" si="10"/>
        <v>6356.586831347501</v>
      </c>
      <c r="R12" s="91">
        <f t="shared" si="11"/>
        <v>16260.518165674213</v>
      </c>
      <c r="S12" s="91">
        <f t="shared" si="12"/>
        <v>43404.861931968946</v>
      </c>
      <c r="T12" s="91">
        <f t="shared" si="13"/>
        <v>26199.445723797136</v>
      </c>
      <c r="U12" s="91">
        <f t="shared" si="14"/>
        <v>2939.682798881427</v>
      </c>
      <c r="V12" s="91">
        <f t="shared" si="15"/>
        <v>10377.971093020795</v>
      </c>
      <c r="W12" s="91">
        <f t="shared" si="18"/>
        <v>4046.836060797809</v>
      </c>
      <c r="X12" s="91">
        <f>SUM(P12:W12)</f>
        <v>155863.63636363635</v>
      </c>
      <c r="Y12" s="91">
        <f t="shared" si="19"/>
        <v>103431.81818181818</v>
      </c>
      <c r="Z12" s="91">
        <f t="shared" si="16"/>
        <v>103431.81818181818</v>
      </c>
      <c r="AA12" s="91">
        <f>SUM(X12:Z12)</f>
        <v>362727.2727272727</v>
      </c>
      <c r="AB12" s="91">
        <f t="shared" si="20"/>
        <v>373045.45454545453</v>
      </c>
      <c r="AC12" s="93">
        <f t="shared" si="17"/>
        <v>0.9723406847812842</v>
      </c>
      <c r="AD12" s="94"/>
      <c r="AE12" s="91">
        <f t="shared" si="4"/>
        <v>-46277.733758148526</v>
      </c>
      <c r="AF12" s="90">
        <f t="shared" si="4"/>
        <v>-6356.586831347501</v>
      </c>
      <c r="AG12" s="90">
        <f t="shared" si="1"/>
        <v>-16260.518165674213</v>
      </c>
      <c r="AH12" s="90">
        <f t="shared" si="1"/>
        <v>-43404.861931968946</v>
      </c>
      <c r="AI12" s="90">
        <f t="shared" si="1"/>
        <v>-26199.445723797136</v>
      </c>
      <c r="AJ12" s="90">
        <f t="shared" si="1"/>
        <v>-2939.682798881427</v>
      </c>
      <c r="AK12" s="90">
        <f t="shared" si="1"/>
        <v>-10377.971093020795</v>
      </c>
      <c r="AL12" s="90">
        <f t="shared" si="1"/>
        <v>-4046.836060797809</v>
      </c>
      <c r="AM12" s="91">
        <f t="shared" si="2"/>
        <v>-155863.63636363635</v>
      </c>
      <c r="AN12" s="91">
        <f t="shared" si="5"/>
        <v>-103431.81818181818</v>
      </c>
      <c r="AO12" s="91">
        <f t="shared" si="5"/>
        <v>-103431.81818181818</v>
      </c>
      <c r="AP12" s="91">
        <f t="shared" si="3"/>
        <v>-362727.2727272727</v>
      </c>
      <c r="AQ12" s="91">
        <f t="shared" si="6"/>
        <v>-373045.45454545453</v>
      </c>
      <c r="AR12" s="91">
        <f>AP12/AQ12</f>
        <v>0.9723406847812842</v>
      </c>
    </row>
    <row r="13" spans="1:44" s="95" customFormat="1" ht="12.75">
      <c r="A13" s="89">
        <f>'[10]MONTH8'!$A7</f>
        <v>0</v>
      </c>
      <c r="B13" s="51">
        <f>'[10]MONTH8'!B7</f>
        <v>0</v>
      </c>
      <c r="C13" s="51">
        <f>'[10]MONTH8'!C7</f>
        <v>0</v>
      </c>
      <c r="D13" s="51">
        <f>'[10]MONTH8'!D7</f>
        <v>0</v>
      </c>
      <c r="E13" s="51">
        <f>'[10]MONTH8'!E7</f>
        <v>0</v>
      </c>
      <c r="F13" s="51">
        <f>'[10]MONTH8'!F7</f>
        <v>0</v>
      </c>
      <c r="G13" s="51">
        <f>'[10]MONTH8'!G7</f>
        <v>0</v>
      </c>
      <c r="H13" s="51">
        <f>'[10]MONTH8'!H7</f>
        <v>0</v>
      </c>
      <c r="I13" s="51">
        <f>'[10]MONTH8'!I7</f>
        <v>0</v>
      </c>
      <c r="J13" s="91">
        <f t="shared" si="7"/>
        <v>0</v>
      </c>
      <c r="K13" s="52">
        <f>'[10]MONTH8'!J7</f>
        <v>0</v>
      </c>
      <c r="L13" s="52">
        <f>'[10]MONTH8'!K7</f>
        <v>0</v>
      </c>
      <c r="M13" s="91">
        <f t="shared" si="8"/>
        <v>0</v>
      </c>
      <c r="N13" s="52">
        <f>'[10]MONTH8'!L7</f>
        <v>0</v>
      </c>
      <c r="O13" s="92" t="e">
        <f t="shared" si="9"/>
        <v>#DIV/0!</v>
      </c>
      <c r="P13" s="91">
        <f>$X$3/$X$5*($P$1/$X$1)</f>
        <v>46277.733758148526</v>
      </c>
      <c r="Q13" s="91">
        <f t="shared" si="10"/>
        <v>6356.586831347501</v>
      </c>
      <c r="R13" s="91">
        <f t="shared" si="11"/>
        <v>16260.518165674213</v>
      </c>
      <c r="S13" s="91">
        <f t="shared" si="12"/>
        <v>43404.861931968946</v>
      </c>
      <c r="T13" s="91">
        <f t="shared" si="13"/>
        <v>26199.445723797136</v>
      </c>
      <c r="U13" s="91">
        <f t="shared" si="14"/>
        <v>2939.682798881427</v>
      </c>
      <c r="V13" s="91">
        <f t="shared" si="15"/>
        <v>10377.971093020795</v>
      </c>
      <c r="W13" s="91">
        <f t="shared" si="18"/>
        <v>4046.836060797809</v>
      </c>
      <c r="X13" s="91">
        <f>SUM(P13:W13)</f>
        <v>155863.63636363635</v>
      </c>
      <c r="Y13" s="91">
        <f t="shared" si="19"/>
        <v>103431.81818181818</v>
      </c>
      <c r="Z13" s="91">
        <f t="shared" si="16"/>
        <v>103431.81818181818</v>
      </c>
      <c r="AA13" s="91">
        <f>SUM(X13:Z13)</f>
        <v>362727.2727272727</v>
      </c>
      <c r="AB13" s="91">
        <f t="shared" si="20"/>
        <v>373045.45454545453</v>
      </c>
      <c r="AC13" s="93">
        <f t="shared" si="17"/>
        <v>0.9723406847812842</v>
      </c>
      <c r="AD13" s="94"/>
      <c r="AE13" s="91">
        <f t="shared" si="4"/>
        <v>-46277.733758148526</v>
      </c>
      <c r="AF13" s="90">
        <f t="shared" si="4"/>
        <v>-6356.586831347501</v>
      </c>
      <c r="AG13" s="90">
        <f t="shared" si="1"/>
        <v>-16260.518165674213</v>
      </c>
      <c r="AH13" s="90">
        <f t="shared" si="1"/>
        <v>-43404.861931968946</v>
      </c>
      <c r="AI13" s="90">
        <f t="shared" si="1"/>
        <v>-26199.445723797136</v>
      </c>
      <c r="AJ13" s="90">
        <f t="shared" si="1"/>
        <v>-2939.682798881427</v>
      </c>
      <c r="AK13" s="90">
        <f t="shared" si="1"/>
        <v>-10377.971093020795</v>
      </c>
      <c r="AL13" s="90">
        <f t="shared" si="1"/>
        <v>-4046.836060797809</v>
      </c>
      <c r="AM13" s="91">
        <f t="shared" si="2"/>
        <v>-155863.63636363635</v>
      </c>
      <c r="AN13" s="91">
        <f t="shared" si="5"/>
        <v>-103431.81818181818</v>
      </c>
      <c r="AO13" s="91">
        <f t="shared" si="5"/>
        <v>-103431.81818181818</v>
      </c>
      <c r="AP13" s="91">
        <f t="shared" si="3"/>
        <v>-362727.2727272727</v>
      </c>
      <c r="AQ13" s="91">
        <f t="shared" si="6"/>
        <v>-373045.45454545453</v>
      </c>
      <c r="AR13" s="91">
        <f>AP13/AQ13</f>
        <v>0.9723406847812842</v>
      </c>
    </row>
    <row r="14" spans="1:44" s="60" customFormat="1" ht="12.75">
      <c r="A14" s="89">
        <f>'[10]MONTH8'!$A8</f>
        <v>0</v>
      </c>
      <c r="B14" s="51">
        <f>'[10]MONTH8'!B8</f>
        <v>0</v>
      </c>
      <c r="C14" s="51">
        <f>'[10]MONTH8'!C8</f>
        <v>0</v>
      </c>
      <c r="D14" s="51">
        <f>'[10]MONTH8'!D8</f>
        <v>0</v>
      </c>
      <c r="E14" s="51">
        <f>'[10]MONTH8'!E8</f>
        <v>0</v>
      </c>
      <c r="F14" s="51">
        <f>'[10]MONTH8'!F8</f>
        <v>0</v>
      </c>
      <c r="G14" s="51">
        <f>'[10]MONTH8'!G8</f>
        <v>0</v>
      </c>
      <c r="H14" s="51">
        <f>'[10]MONTH8'!H8</f>
        <v>0</v>
      </c>
      <c r="I14" s="51">
        <f>'[10]MONTH8'!I8</f>
        <v>0</v>
      </c>
      <c r="J14" s="78">
        <f t="shared" si="7"/>
        <v>0</v>
      </c>
      <c r="K14" s="52">
        <f>'[10]MONTH8'!J8</f>
        <v>0</v>
      </c>
      <c r="L14" s="52">
        <f>'[10]MONTH8'!K8</f>
        <v>0</v>
      </c>
      <c r="M14" s="78">
        <f t="shared" si="8"/>
        <v>0</v>
      </c>
      <c r="N14" s="52">
        <f>'[10]MONTH8'!L8</f>
        <v>0</v>
      </c>
      <c r="O14" s="64" t="e">
        <f t="shared" si="9"/>
        <v>#DIV/0!</v>
      </c>
      <c r="P14" s="78">
        <f>$X$3/$X$5*($P$1/$X$1)</f>
        <v>46277.733758148526</v>
      </c>
      <c r="Q14" s="78">
        <f t="shared" si="10"/>
        <v>6356.586831347501</v>
      </c>
      <c r="R14" s="78">
        <f t="shared" si="11"/>
        <v>16260.518165674213</v>
      </c>
      <c r="S14" s="78">
        <f t="shared" si="12"/>
        <v>43404.861931968946</v>
      </c>
      <c r="T14" s="78">
        <f t="shared" si="13"/>
        <v>26199.445723797136</v>
      </c>
      <c r="U14" s="78">
        <f t="shared" si="14"/>
        <v>2939.682798881427</v>
      </c>
      <c r="V14" s="78">
        <f t="shared" si="15"/>
        <v>10377.971093020795</v>
      </c>
      <c r="W14" s="78">
        <f t="shared" si="18"/>
        <v>4046.836060797809</v>
      </c>
      <c r="X14" s="78">
        <f>SUM(P14:W14)</f>
        <v>155863.63636363635</v>
      </c>
      <c r="Y14" s="78">
        <f t="shared" si="19"/>
        <v>103431.81818181818</v>
      </c>
      <c r="Z14" s="78">
        <f t="shared" si="16"/>
        <v>103431.81818181818</v>
      </c>
      <c r="AA14" s="78">
        <f>SUM(X14:Z14)</f>
        <v>362727.2727272727</v>
      </c>
      <c r="AB14" s="78">
        <f t="shared" si="20"/>
        <v>373045.45454545453</v>
      </c>
      <c r="AC14" s="76">
        <f t="shared" si="17"/>
        <v>0.9723406847812842</v>
      </c>
      <c r="AD14" s="77"/>
      <c r="AE14" s="78">
        <f t="shared" si="4"/>
        <v>-46277.733758148526</v>
      </c>
      <c r="AF14" s="51">
        <f t="shared" si="4"/>
        <v>-6356.586831347501</v>
      </c>
      <c r="AG14" s="51">
        <f t="shared" si="1"/>
        <v>-16260.518165674213</v>
      </c>
      <c r="AH14" s="51">
        <f t="shared" si="1"/>
        <v>-43404.861931968946</v>
      </c>
      <c r="AI14" s="51">
        <f t="shared" si="1"/>
        <v>-26199.445723797136</v>
      </c>
      <c r="AJ14" s="51">
        <f t="shared" si="1"/>
        <v>-2939.682798881427</v>
      </c>
      <c r="AK14" s="51">
        <f t="shared" si="1"/>
        <v>-10377.971093020795</v>
      </c>
      <c r="AL14" s="51">
        <f t="shared" si="1"/>
        <v>-4046.836060797809</v>
      </c>
      <c r="AM14" s="78">
        <f t="shared" si="2"/>
        <v>-155863.63636363635</v>
      </c>
      <c r="AN14" s="78">
        <f t="shared" si="5"/>
        <v>-103431.81818181818</v>
      </c>
      <c r="AO14" s="78">
        <f t="shared" si="5"/>
        <v>-103431.81818181818</v>
      </c>
      <c r="AP14" s="78">
        <f t="shared" si="3"/>
        <v>-362727.2727272727</v>
      </c>
      <c r="AQ14" s="78">
        <f t="shared" si="6"/>
        <v>-373045.45454545453</v>
      </c>
      <c r="AR14" s="78">
        <f>AP14/AQ14</f>
        <v>0.9723406847812842</v>
      </c>
    </row>
    <row r="15" spans="1:44" s="60" customFormat="1" ht="12.75">
      <c r="A15" s="89">
        <f>'[10]MONTH8'!$A9</f>
        <v>0</v>
      </c>
      <c r="B15" s="51">
        <f>'[10]MONTH8'!B9</f>
        <v>0</v>
      </c>
      <c r="C15" s="51">
        <f>'[10]MONTH8'!C9</f>
        <v>0</v>
      </c>
      <c r="D15" s="51">
        <f>'[10]MONTH8'!D9</f>
        <v>0</v>
      </c>
      <c r="E15" s="51">
        <f>'[10]MONTH8'!E9</f>
        <v>0</v>
      </c>
      <c r="F15" s="51">
        <f>'[10]MONTH8'!F9</f>
        <v>0</v>
      </c>
      <c r="G15" s="51">
        <f>'[10]MONTH8'!G9</f>
        <v>0</v>
      </c>
      <c r="H15" s="51">
        <f>'[10]MONTH8'!H9</f>
        <v>0</v>
      </c>
      <c r="I15" s="51">
        <f>'[10]MONTH8'!I9</f>
        <v>0</v>
      </c>
      <c r="J15" s="78">
        <f t="shared" si="7"/>
        <v>0</v>
      </c>
      <c r="K15" s="52">
        <f>'[10]MONTH8'!J9</f>
        <v>0</v>
      </c>
      <c r="L15" s="52">
        <f>'[10]MONTH8'!K9</f>
        <v>0</v>
      </c>
      <c r="M15" s="78">
        <f t="shared" si="8"/>
        <v>0</v>
      </c>
      <c r="N15" s="52">
        <f>'[10]MONTH8'!L9</f>
        <v>0</v>
      </c>
      <c r="O15" s="64" t="e">
        <f t="shared" si="9"/>
        <v>#DIV/0!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6"/>
      <c r="AD15" s="77"/>
      <c r="AE15" s="78">
        <f t="shared" si="4"/>
        <v>0</v>
      </c>
      <c r="AF15" s="51">
        <f t="shared" si="4"/>
        <v>0</v>
      </c>
      <c r="AG15" s="51">
        <f t="shared" si="1"/>
        <v>0</v>
      </c>
      <c r="AH15" s="51">
        <f t="shared" si="1"/>
        <v>0</v>
      </c>
      <c r="AI15" s="51">
        <f t="shared" si="1"/>
        <v>0</v>
      </c>
      <c r="AJ15" s="51">
        <f t="shared" si="1"/>
        <v>0</v>
      </c>
      <c r="AK15" s="51">
        <f t="shared" si="1"/>
        <v>0</v>
      </c>
      <c r="AL15" s="51">
        <f t="shared" si="1"/>
        <v>0</v>
      </c>
      <c r="AM15" s="78">
        <f t="shared" si="2"/>
        <v>0</v>
      </c>
      <c r="AN15" s="78">
        <f t="shared" si="5"/>
        <v>0</v>
      </c>
      <c r="AO15" s="78">
        <f t="shared" si="5"/>
        <v>0</v>
      </c>
      <c r="AP15" s="78">
        <f t="shared" si="3"/>
        <v>0</v>
      </c>
      <c r="AQ15" s="78">
        <f t="shared" si="6"/>
        <v>0</v>
      </c>
      <c r="AR15" s="78" t="e">
        <f>AP15/AQ15</f>
        <v>#DIV/0!</v>
      </c>
    </row>
    <row r="16" spans="1:44" s="60" customFormat="1" ht="12.75">
      <c r="A16" s="89">
        <f>'[10]MONTH8'!$A10</f>
        <v>0</v>
      </c>
      <c r="B16" s="51">
        <f>'[10]MONTH8'!B10</f>
        <v>0</v>
      </c>
      <c r="C16" s="51">
        <f>'[10]MONTH8'!C10</f>
        <v>0</v>
      </c>
      <c r="D16" s="51">
        <f>'[10]MONTH8'!D10</f>
        <v>0</v>
      </c>
      <c r="E16" s="51">
        <f>'[10]MONTH8'!E10</f>
        <v>0</v>
      </c>
      <c r="F16" s="51">
        <f>'[10]MONTH8'!F10</f>
        <v>0</v>
      </c>
      <c r="G16" s="51">
        <f>'[10]MONTH8'!G10</f>
        <v>0</v>
      </c>
      <c r="H16" s="51">
        <f>'[10]MONTH8'!H10</f>
        <v>0</v>
      </c>
      <c r="I16" s="51">
        <f>'[10]MONTH8'!I10</f>
        <v>0</v>
      </c>
      <c r="J16" s="78">
        <f t="shared" si="7"/>
        <v>0</v>
      </c>
      <c r="K16" s="52">
        <f>'[10]MONTH8'!J10</f>
        <v>0</v>
      </c>
      <c r="L16" s="52">
        <f>'[10]MONTH8'!K10</f>
        <v>0</v>
      </c>
      <c r="M16" s="78">
        <f t="shared" si="8"/>
        <v>0</v>
      </c>
      <c r="N16" s="52">
        <f>'[10]MONTH8'!L10</f>
        <v>0</v>
      </c>
      <c r="O16" s="64" t="e">
        <f t="shared" si="9"/>
        <v>#DIV/0!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76"/>
      <c r="AD16" s="77"/>
      <c r="AE16" s="78">
        <f t="shared" si="4"/>
        <v>0</v>
      </c>
      <c r="AF16" s="51">
        <f t="shared" si="4"/>
        <v>0</v>
      </c>
      <c r="AG16" s="51">
        <f t="shared" si="1"/>
        <v>0</v>
      </c>
      <c r="AH16" s="51">
        <f t="shared" si="1"/>
        <v>0</v>
      </c>
      <c r="AI16" s="51">
        <f t="shared" si="1"/>
        <v>0</v>
      </c>
      <c r="AJ16" s="51">
        <f t="shared" si="1"/>
        <v>0</v>
      </c>
      <c r="AK16" s="51">
        <f t="shared" si="1"/>
        <v>0</v>
      </c>
      <c r="AL16" s="51">
        <f t="shared" si="1"/>
        <v>0</v>
      </c>
      <c r="AM16" s="78">
        <f t="shared" si="2"/>
        <v>0</v>
      </c>
      <c r="AN16" s="78">
        <f t="shared" si="5"/>
        <v>0</v>
      </c>
      <c r="AO16" s="78">
        <f t="shared" si="5"/>
        <v>0</v>
      </c>
      <c r="AP16" s="78">
        <f t="shared" si="3"/>
        <v>0</v>
      </c>
      <c r="AQ16" s="78">
        <f t="shared" si="6"/>
        <v>0</v>
      </c>
      <c r="AR16" s="78"/>
    </row>
    <row r="17" spans="1:44" s="60" customFormat="1" ht="12.75">
      <c r="A17" s="89">
        <f>'[10]MONTH8'!$A11</f>
        <v>0</v>
      </c>
      <c r="B17" s="51">
        <f>'[10]MONTH8'!B11</f>
        <v>0</v>
      </c>
      <c r="C17" s="51">
        <f>'[10]MONTH8'!C11</f>
        <v>0</v>
      </c>
      <c r="D17" s="51">
        <f>'[10]MONTH8'!D11</f>
        <v>0</v>
      </c>
      <c r="E17" s="51">
        <f>'[10]MONTH8'!E11</f>
        <v>0</v>
      </c>
      <c r="F17" s="51">
        <f>'[10]MONTH8'!F11</f>
        <v>0</v>
      </c>
      <c r="G17" s="51">
        <f>'[10]MONTH8'!G11</f>
        <v>0</v>
      </c>
      <c r="H17" s="51">
        <f>'[10]MONTH8'!H11</f>
        <v>0</v>
      </c>
      <c r="I17" s="51">
        <f>'[10]MONTH8'!I11</f>
        <v>0</v>
      </c>
      <c r="J17" s="78">
        <f t="shared" si="7"/>
        <v>0</v>
      </c>
      <c r="K17" s="52">
        <f>'[10]MONTH8'!J11</f>
        <v>0</v>
      </c>
      <c r="L17" s="52">
        <f>'[10]MONTH8'!K11</f>
        <v>0</v>
      </c>
      <c r="M17" s="78">
        <f t="shared" si="8"/>
        <v>0</v>
      </c>
      <c r="N17" s="52">
        <f>'[10]MONTH8'!L11</f>
        <v>0</v>
      </c>
      <c r="O17" s="64" t="e">
        <f t="shared" si="9"/>
        <v>#DIV/0!</v>
      </c>
      <c r="P17" s="78">
        <f>$X$3/$X$5*($P$1/$X$1)</f>
        <v>46277.733758148526</v>
      </c>
      <c r="Q17" s="78">
        <f t="shared" si="10"/>
        <v>6356.586831347501</v>
      </c>
      <c r="R17" s="78">
        <f t="shared" si="11"/>
        <v>16260.518165674213</v>
      </c>
      <c r="S17" s="78">
        <f t="shared" si="12"/>
        <v>43404.861931968946</v>
      </c>
      <c r="T17" s="78">
        <f t="shared" si="13"/>
        <v>26199.445723797136</v>
      </c>
      <c r="U17" s="78">
        <f t="shared" si="14"/>
        <v>2939.682798881427</v>
      </c>
      <c r="V17" s="78">
        <f t="shared" si="15"/>
        <v>10377.971093020795</v>
      </c>
      <c r="W17" s="78">
        <f t="shared" si="18"/>
        <v>4046.836060797809</v>
      </c>
      <c r="X17" s="78">
        <f>SUM(P17:W17)</f>
        <v>155863.63636363635</v>
      </c>
      <c r="Y17" s="78">
        <f t="shared" si="19"/>
        <v>103431.81818181818</v>
      </c>
      <c r="Z17" s="78">
        <f t="shared" si="16"/>
        <v>103431.81818181818</v>
      </c>
      <c r="AA17" s="78">
        <f>SUM(X17:Z17)</f>
        <v>362727.2727272727</v>
      </c>
      <c r="AB17" s="78">
        <f t="shared" si="20"/>
        <v>373045.45454545453</v>
      </c>
      <c r="AC17" s="76">
        <f t="shared" si="17"/>
        <v>0.9723406847812842</v>
      </c>
      <c r="AD17" s="77"/>
      <c r="AE17" s="78">
        <f t="shared" si="4"/>
        <v>-46277.733758148526</v>
      </c>
      <c r="AF17" s="51">
        <f t="shared" si="4"/>
        <v>-6356.586831347501</v>
      </c>
      <c r="AG17" s="51">
        <f t="shared" si="1"/>
        <v>-16260.518165674213</v>
      </c>
      <c r="AH17" s="51">
        <f t="shared" si="1"/>
        <v>-43404.861931968946</v>
      </c>
      <c r="AI17" s="51">
        <f t="shared" si="1"/>
        <v>-26199.445723797136</v>
      </c>
      <c r="AJ17" s="51">
        <f t="shared" si="1"/>
        <v>-2939.682798881427</v>
      </c>
      <c r="AK17" s="51">
        <f t="shared" si="1"/>
        <v>-10377.971093020795</v>
      </c>
      <c r="AL17" s="51">
        <f t="shared" si="1"/>
        <v>-4046.836060797809</v>
      </c>
      <c r="AM17" s="78">
        <f t="shared" si="2"/>
        <v>-155863.63636363635</v>
      </c>
      <c r="AN17" s="78">
        <f t="shared" si="5"/>
        <v>-103431.81818181818</v>
      </c>
      <c r="AO17" s="78">
        <f t="shared" si="5"/>
        <v>-103431.81818181818</v>
      </c>
      <c r="AP17" s="78">
        <f t="shared" si="3"/>
        <v>-362727.2727272727</v>
      </c>
      <c r="AQ17" s="78">
        <f t="shared" si="6"/>
        <v>-373045.45454545453</v>
      </c>
      <c r="AR17" s="78"/>
    </row>
    <row r="18" spans="1:44" s="60" customFormat="1" ht="12.75">
      <c r="A18" s="89">
        <f>'[10]MONTH8'!$A12</f>
        <v>0</v>
      </c>
      <c r="B18" s="51">
        <f>'[10]MONTH8'!B12</f>
        <v>0</v>
      </c>
      <c r="C18" s="51">
        <f>'[10]MONTH8'!C12</f>
        <v>0</v>
      </c>
      <c r="D18" s="51">
        <f>'[10]MONTH8'!D12</f>
        <v>0</v>
      </c>
      <c r="E18" s="51">
        <f>'[10]MONTH8'!E12</f>
        <v>0</v>
      </c>
      <c r="F18" s="51">
        <f>'[10]MONTH8'!F12</f>
        <v>0</v>
      </c>
      <c r="G18" s="51">
        <f>'[10]MONTH8'!G12</f>
        <v>0</v>
      </c>
      <c r="H18" s="51">
        <f>'[10]MONTH8'!H12</f>
        <v>0</v>
      </c>
      <c r="I18" s="51">
        <f>'[10]MONTH8'!I12</f>
        <v>0</v>
      </c>
      <c r="J18" s="78">
        <f t="shared" si="7"/>
        <v>0</v>
      </c>
      <c r="K18" s="52">
        <f>'[10]MONTH8'!J12</f>
        <v>0</v>
      </c>
      <c r="L18" s="52">
        <f>'[10]MONTH8'!K12</f>
        <v>0</v>
      </c>
      <c r="M18" s="78">
        <f t="shared" si="8"/>
        <v>0</v>
      </c>
      <c r="N18" s="52">
        <f>'[10]MONTH8'!L12</f>
        <v>0</v>
      </c>
      <c r="O18" s="64" t="e">
        <f t="shared" si="9"/>
        <v>#DIV/0!</v>
      </c>
      <c r="P18" s="78">
        <f>$X$3/$X$5*($P$1/$X$1)</f>
        <v>46277.733758148526</v>
      </c>
      <c r="Q18" s="78">
        <f>$X$3/$X$5*($Q$1/$X$1)</f>
        <v>6356.586831347501</v>
      </c>
      <c r="R18" s="78">
        <f>$X$3/$X$5*($R$1/$X$1)</f>
        <v>16260.518165674213</v>
      </c>
      <c r="S18" s="78">
        <f>$X$3/$X$5*($S$1/$X$1)</f>
        <v>43404.861931968946</v>
      </c>
      <c r="T18" s="78">
        <f>$X$3/$X$5*($T$1/$X$1)</f>
        <v>26199.445723797136</v>
      </c>
      <c r="U18" s="78">
        <f>$X$3/$X$5*($U$1/$X$1)</f>
        <v>2939.682798881427</v>
      </c>
      <c r="V18" s="78">
        <f>$X$3/$X$5*($V$1/$X$1)</f>
        <v>10377.971093020795</v>
      </c>
      <c r="W18" s="78">
        <f>$X$3/$X$5*($W$1/$X$1)</f>
        <v>4046.836060797809</v>
      </c>
      <c r="X18" s="78">
        <f>SUM(P18:W18)</f>
        <v>155863.63636363635</v>
      </c>
      <c r="Y18" s="78">
        <f>$Y$3/$X$5</f>
        <v>103431.81818181818</v>
      </c>
      <c r="Z18" s="78">
        <f>$Z$3/$X$5</f>
        <v>103431.81818181818</v>
      </c>
      <c r="AA18" s="78">
        <f>SUM(X18:Z18)</f>
        <v>362727.2727272727</v>
      </c>
      <c r="AB18" s="78">
        <f>$AB$3/$X$5</f>
        <v>373045.45454545453</v>
      </c>
      <c r="AC18" s="76">
        <f>AA18/AB18</f>
        <v>0.9723406847812842</v>
      </c>
      <c r="AD18" s="77"/>
      <c r="AE18" s="78">
        <f t="shared" si="4"/>
        <v>-46277.733758148526</v>
      </c>
      <c r="AF18" s="51">
        <f t="shared" si="4"/>
        <v>-6356.586831347501</v>
      </c>
      <c r="AG18" s="51">
        <f t="shared" si="1"/>
        <v>-16260.518165674213</v>
      </c>
      <c r="AH18" s="51">
        <f t="shared" si="1"/>
        <v>-43404.861931968946</v>
      </c>
      <c r="AI18" s="51">
        <f t="shared" si="1"/>
        <v>-26199.445723797136</v>
      </c>
      <c r="AJ18" s="51">
        <f t="shared" si="1"/>
        <v>-2939.682798881427</v>
      </c>
      <c r="AK18" s="51">
        <f t="shared" si="1"/>
        <v>-10377.971093020795</v>
      </c>
      <c r="AL18" s="51">
        <f t="shared" si="1"/>
        <v>-4046.836060797809</v>
      </c>
      <c r="AM18" s="78">
        <f t="shared" si="2"/>
        <v>-155863.63636363635</v>
      </c>
      <c r="AN18" s="78">
        <f t="shared" si="5"/>
        <v>-103431.81818181818</v>
      </c>
      <c r="AO18" s="78">
        <f t="shared" si="5"/>
        <v>-103431.81818181818</v>
      </c>
      <c r="AP18" s="78">
        <f t="shared" si="3"/>
        <v>-362727.2727272727</v>
      </c>
      <c r="AQ18" s="78">
        <f t="shared" si="6"/>
        <v>-373045.45454545453</v>
      </c>
      <c r="AR18" s="78">
        <f>AP18/AQ18</f>
        <v>0.9723406847812842</v>
      </c>
    </row>
    <row r="19" spans="1:85" s="95" customFormat="1" ht="12.75">
      <c r="A19" s="89">
        <f>'[10]MONTH8'!$A13</f>
        <v>0</v>
      </c>
      <c r="B19" s="51">
        <f>'[10]MONTH8'!B13</f>
        <v>0</v>
      </c>
      <c r="C19" s="51">
        <f>'[10]MONTH8'!C13</f>
        <v>0</v>
      </c>
      <c r="D19" s="51">
        <f>'[10]MONTH8'!D13</f>
        <v>0</v>
      </c>
      <c r="E19" s="51">
        <f>'[10]MONTH8'!E13</f>
        <v>0</v>
      </c>
      <c r="F19" s="51">
        <f>'[10]MONTH8'!F13</f>
        <v>0</v>
      </c>
      <c r="G19" s="51">
        <f>'[10]MONTH8'!G13</f>
        <v>0</v>
      </c>
      <c r="H19" s="51">
        <f>'[10]MONTH8'!H13</f>
        <v>0</v>
      </c>
      <c r="I19" s="51">
        <f>'[10]MONTH8'!I13</f>
        <v>0</v>
      </c>
      <c r="J19" s="91">
        <f t="shared" si="7"/>
        <v>0</v>
      </c>
      <c r="K19" s="52">
        <f>'[10]MONTH8'!J13</f>
        <v>0</v>
      </c>
      <c r="L19" s="52">
        <f>'[10]MONTH8'!K13</f>
        <v>0</v>
      </c>
      <c r="M19" s="91">
        <f t="shared" si="8"/>
        <v>0</v>
      </c>
      <c r="N19" s="52">
        <f>'[10]MONTH8'!L13</f>
        <v>0</v>
      </c>
      <c r="O19" s="92" t="e">
        <f t="shared" si="9"/>
        <v>#DIV/0!</v>
      </c>
      <c r="P19" s="91">
        <f>$X$3/$X$5*($P$1/$X$1)</f>
        <v>46277.733758148526</v>
      </c>
      <c r="Q19" s="91">
        <f>$X$3/$X$5*($Q$1/$X$1)</f>
        <v>6356.586831347501</v>
      </c>
      <c r="R19" s="91">
        <f>$X$3/$X$5*($R$1/$X$1)</f>
        <v>16260.518165674213</v>
      </c>
      <c r="S19" s="91">
        <f>$X$3/$X$5*($S$1/$X$1)</f>
        <v>43404.861931968946</v>
      </c>
      <c r="T19" s="91">
        <f>$X$3/$X$5*($T$1/$X$1)</f>
        <v>26199.445723797136</v>
      </c>
      <c r="U19" s="91">
        <f>$X$3/$X$5*($U$1/$X$1)</f>
        <v>2939.682798881427</v>
      </c>
      <c r="V19" s="91">
        <f>$X$3/$X$5*($V$1/$X$1)</f>
        <v>10377.971093020795</v>
      </c>
      <c r="W19" s="91">
        <f>$X$3/$X$5*($W$1/$X$1)</f>
        <v>4046.836060797809</v>
      </c>
      <c r="X19" s="91">
        <f>SUM(P19:W19)</f>
        <v>155863.63636363635</v>
      </c>
      <c r="Y19" s="91">
        <f>$Y$3/$X$5</f>
        <v>103431.81818181818</v>
      </c>
      <c r="Z19" s="91">
        <f>$Z$3/$X$5</f>
        <v>103431.81818181818</v>
      </c>
      <c r="AA19" s="91">
        <f>SUM(X19:Z19)</f>
        <v>362727.2727272727</v>
      </c>
      <c r="AB19" s="91">
        <f>$AB$3/$X$5</f>
        <v>373045.45454545453</v>
      </c>
      <c r="AC19" s="93">
        <f>AA19/AB19</f>
        <v>0.9723406847812842</v>
      </c>
      <c r="AD19" s="94"/>
      <c r="AE19" s="91">
        <f t="shared" si="4"/>
        <v>-46277.733758148526</v>
      </c>
      <c r="AF19" s="90">
        <f t="shared" si="4"/>
        <v>-6356.586831347501</v>
      </c>
      <c r="AG19" s="90">
        <f t="shared" si="1"/>
        <v>-16260.518165674213</v>
      </c>
      <c r="AH19" s="90">
        <f t="shared" si="1"/>
        <v>-43404.861931968946</v>
      </c>
      <c r="AI19" s="90">
        <f t="shared" si="1"/>
        <v>-26199.445723797136</v>
      </c>
      <c r="AJ19" s="90">
        <f t="shared" si="1"/>
        <v>-2939.682798881427</v>
      </c>
      <c r="AK19" s="90">
        <f t="shared" si="1"/>
        <v>-10377.971093020795</v>
      </c>
      <c r="AL19" s="90">
        <f t="shared" si="1"/>
        <v>-4046.836060797809</v>
      </c>
      <c r="AM19" s="91">
        <f t="shared" si="2"/>
        <v>-155863.63636363635</v>
      </c>
      <c r="AN19" s="91">
        <f t="shared" si="5"/>
        <v>-103431.81818181818</v>
      </c>
      <c r="AO19" s="91">
        <f t="shared" si="5"/>
        <v>-103431.81818181818</v>
      </c>
      <c r="AP19" s="91">
        <f t="shared" si="3"/>
        <v>-362727.2727272727</v>
      </c>
      <c r="AQ19" s="91">
        <f t="shared" si="6"/>
        <v>-373045.45454545453</v>
      </c>
      <c r="AR19" s="91">
        <f>AP19/AQ19</f>
        <v>0.9723406847812842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s="95" customFormat="1" ht="12.75">
      <c r="A20" s="89">
        <f>'[10]MONTH8'!$A14</f>
        <v>0</v>
      </c>
      <c r="B20" s="51">
        <f>'[10]MONTH8'!B14</f>
        <v>0</v>
      </c>
      <c r="C20" s="51">
        <f>'[10]MONTH8'!C14</f>
        <v>0</v>
      </c>
      <c r="D20" s="51">
        <f>'[10]MONTH8'!D14</f>
        <v>0</v>
      </c>
      <c r="E20" s="51">
        <f>'[10]MONTH8'!E14</f>
        <v>0</v>
      </c>
      <c r="F20" s="51">
        <f>'[10]MONTH8'!F14</f>
        <v>0</v>
      </c>
      <c r="G20" s="51">
        <f>'[10]MONTH8'!G14</f>
        <v>0</v>
      </c>
      <c r="H20" s="51">
        <f>'[10]MONTH8'!H14</f>
        <v>0</v>
      </c>
      <c r="I20" s="51">
        <f>'[10]MONTH8'!I14</f>
        <v>0</v>
      </c>
      <c r="J20" s="91">
        <f t="shared" si="7"/>
        <v>0</v>
      </c>
      <c r="K20" s="52">
        <f>'[10]MONTH8'!J14</f>
        <v>0</v>
      </c>
      <c r="L20" s="52">
        <f>'[10]MONTH8'!K14</f>
        <v>0</v>
      </c>
      <c r="M20" s="91">
        <f t="shared" si="8"/>
        <v>0</v>
      </c>
      <c r="N20" s="52">
        <f>'[10]MONTH8'!L14</f>
        <v>0</v>
      </c>
      <c r="O20" s="92" t="e">
        <f t="shared" si="9"/>
        <v>#DIV/0!</v>
      </c>
      <c r="P20" s="91">
        <f>$X$3/$X$5*($P$1/$X$1)</f>
        <v>46277.733758148526</v>
      </c>
      <c r="Q20" s="91">
        <f>$X$3/$X$5*($Q$1/$X$1)</f>
        <v>6356.586831347501</v>
      </c>
      <c r="R20" s="91">
        <f>$X$3/$X$5*($R$1/$X$1)</f>
        <v>16260.518165674213</v>
      </c>
      <c r="S20" s="91">
        <f>$X$3/$X$5*($S$1/$X$1)</f>
        <v>43404.861931968946</v>
      </c>
      <c r="T20" s="91">
        <f>$X$3/$X$5*($T$1/$X$1)</f>
        <v>26199.445723797136</v>
      </c>
      <c r="U20" s="91">
        <f>$X$3/$X$5*($U$1/$X$1)</f>
        <v>2939.682798881427</v>
      </c>
      <c r="V20" s="91">
        <f>$X$3/$X$5*($V$1/$X$1)</f>
        <v>10377.971093020795</v>
      </c>
      <c r="W20" s="91">
        <f>$X$3/$X$5*($W$1/$X$1)</f>
        <v>4046.836060797809</v>
      </c>
      <c r="X20" s="91">
        <f>SUM(P20:W20)</f>
        <v>155863.63636363635</v>
      </c>
      <c r="Y20" s="91">
        <f>$Y$3/$X$5</f>
        <v>103431.81818181818</v>
      </c>
      <c r="Z20" s="91">
        <f>$Z$3/$X$5</f>
        <v>103431.81818181818</v>
      </c>
      <c r="AA20" s="91">
        <f>SUM(X20:Z20)</f>
        <v>362727.2727272727</v>
      </c>
      <c r="AB20" s="91">
        <f>$AB$3/$X$5</f>
        <v>373045.45454545453</v>
      </c>
      <c r="AC20" s="93">
        <f>AA20/AB20</f>
        <v>0.9723406847812842</v>
      </c>
      <c r="AD20" s="94"/>
      <c r="AE20" s="91">
        <f t="shared" si="4"/>
        <v>-46277.733758148526</v>
      </c>
      <c r="AF20" s="90">
        <f t="shared" si="4"/>
        <v>-6356.586831347501</v>
      </c>
      <c r="AG20" s="90">
        <f t="shared" si="1"/>
        <v>-16260.518165674213</v>
      </c>
      <c r="AH20" s="90">
        <f t="shared" si="1"/>
        <v>-43404.861931968946</v>
      </c>
      <c r="AI20" s="90">
        <f t="shared" si="1"/>
        <v>-26199.445723797136</v>
      </c>
      <c r="AJ20" s="90">
        <f t="shared" si="1"/>
        <v>-2939.682798881427</v>
      </c>
      <c r="AK20" s="90">
        <f t="shared" si="1"/>
        <v>-10377.971093020795</v>
      </c>
      <c r="AL20" s="90">
        <f t="shared" si="1"/>
        <v>-4046.836060797809</v>
      </c>
      <c r="AM20" s="91">
        <f t="shared" si="2"/>
        <v>-155863.63636363635</v>
      </c>
      <c r="AN20" s="91">
        <f t="shared" si="5"/>
        <v>-103431.81818181818</v>
      </c>
      <c r="AO20" s="91">
        <f t="shared" si="5"/>
        <v>-103431.81818181818</v>
      </c>
      <c r="AP20" s="91">
        <f t="shared" si="3"/>
        <v>-362727.2727272727</v>
      </c>
      <c r="AQ20" s="91">
        <f t="shared" si="6"/>
        <v>-373045.45454545453</v>
      </c>
      <c r="AR20" s="91">
        <f>AP20/AQ20</f>
        <v>0.9723406847812842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44" s="60" customFormat="1" ht="12.75">
      <c r="A21" s="89">
        <f>'[10]MONTH8'!$A15</f>
        <v>0</v>
      </c>
      <c r="B21" s="51">
        <f>'[10]MONTH8'!B15</f>
        <v>0</v>
      </c>
      <c r="C21" s="51">
        <f>'[10]MONTH8'!C15</f>
        <v>0</v>
      </c>
      <c r="D21" s="51">
        <f>'[10]MONTH8'!D15</f>
        <v>0</v>
      </c>
      <c r="E21" s="51">
        <f>'[10]MONTH8'!E15</f>
        <v>0</v>
      </c>
      <c r="F21" s="51">
        <f>'[10]MONTH8'!F15</f>
        <v>0</v>
      </c>
      <c r="G21" s="51">
        <f>'[10]MONTH8'!G15</f>
        <v>0</v>
      </c>
      <c r="H21" s="51">
        <f>'[10]MONTH8'!H15</f>
        <v>0</v>
      </c>
      <c r="I21" s="51">
        <f>'[10]MONTH8'!I15</f>
        <v>0</v>
      </c>
      <c r="J21" s="78">
        <f t="shared" si="7"/>
        <v>0</v>
      </c>
      <c r="K21" s="52">
        <f>'[10]MONTH8'!J15</f>
        <v>0</v>
      </c>
      <c r="L21" s="52">
        <f>'[10]MONTH8'!K15</f>
        <v>0</v>
      </c>
      <c r="M21" s="78">
        <f t="shared" si="8"/>
        <v>0</v>
      </c>
      <c r="N21" s="52">
        <f>'[10]MONTH8'!L15</f>
        <v>0</v>
      </c>
      <c r="O21" s="64" t="e">
        <f t="shared" si="9"/>
        <v>#DIV/0!</v>
      </c>
      <c r="P21" s="78">
        <f>$X$3/$X$5*($P$1/$X$1)</f>
        <v>46277.733758148526</v>
      </c>
      <c r="Q21" s="78">
        <f>$X$3/$X$5*($Q$1/$X$1)</f>
        <v>6356.586831347501</v>
      </c>
      <c r="R21" s="78">
        <f>$X$3/$X$5*($R$1/$X$1)</f>
        <v>16260.518165674213</v>
      </c>
      <c r="S21" s="78">
        <f>$X$3/$X$5*($S$1/$X$1)</f>
        <v>43404.861931968946</v>
      </c>
      <c r="T21" s="78">
        <f>$X$3/$X$5*($T$1/$X$1)</f>
        <v>26199.445723797136</v>
      </c>
      <c r="U21" s="78">
        <f>$X$3/$X$5*($U$1/$X$1)</f>
        <v>2939.682798881427</v>
      </c>
      <c r="V21" s="78">
        <f>$X$3/$X$5*($V$1/$X$1)</f>
        <v>10377.971093020795</v>
      </c>
      <c r="W21" s="78">
        <f>$X$3/$X$5*($W$1/$X$1)</f>
        <v>4046.836060797809</v>
      </c>
      <c r="X21" s="78">
        <f>SUM(P21:W21)</f>
        <v>155863.63636363635</v>
      </c>
      <c r="Y21" s="78">
        <f>$Y$3/$X$5</f>
        <v>103431.81818181818</v>
      </c>
      <c r="Z21" s="78">
        <f>$Z$3/$X$5</f>
        <v>103431.81818181818</v>
      </c>
      <c r="AA21" s="78">
        <f>SUM(X21:Z21)</f>
        <v>362727.2727272727</v>
      </c>
      <c r="AB21" s="78">
        <f>$AB$3/$X$5</f>
        <v>373045.45454545453</v>
      </c>
      <c r="AC21" s="76">
        <f>AA21/AB21</f>
        <v>0.9723406847812842</v>
      </c>
      <c r="AD21" s="77"/>
      <c r="AE21" s="78">
        <f t="shared" si="4"/>
        <v>-46277.733758148526</v>
      </c>
      <c r="AF21" s="51">
        <f t="shared" si="4"/>
        <v>-6356.586831347501</v>
      </c>
      <c r="AG21" s="51">
        <f t="shared" si="1"/>
        <v>-16260.518165674213</v>
      </c>
      <c r="AH21" s="51">
        <f t="shared" si="1"/>
        <v>-43404.861931968946</v>
      </c>
      <c r="AI21" s="51">
        <f t="shared" si="1"/>
        <v>-26199.445723797136</v>
      </c>
      <c r="AJ21" s="51">
        <f t="shared" si="1"/>
        <v>-2939.682798881427</v>
      </c>
      <c r="AK21" s="51">
        <f t="shared" si="1"/>
        <v>-10377.971093020795</v>
      </c>
      <c r="AL21" s="51">
        <f t="shared" si="1"/>
        <v>-4046.836060797809</v>
      </c>
      <c r="AM21" s="78">
        <f t="shared" si="2"/>
        <v>-155863.63636363635</v>
      </c>
      <c r="AN21" s="78">
        <f t="shared" si="5"/>
        <v>-103431.81818181818</v>
      </c>
      <c r="AO21" s="78">
        <f t="shared" si="5"/>
        <v>-103431.81818181818</v>
      </c>
      <c r="AP21" s="78">
        <f t="shared" si="3"/>
        <v>-362727.2727272727</v>
      </c>
      <c r="AQ21" s="78">
        <f t="shared" si="6"/>
        <v>-373045.45454545453</v>
      </c>
      <c r="AR21" s="78">
        <f>AP21/AQ21</f>
        <v>0.9723406847812842</v>
      </c>
    </row>
    <row r="22" spans="1:44" s="60" customFormat="1" ht="12.75">
      <c r="A22" s="89">
        <f>'[10]MONTH8'!$A16</f>
        <v>0</v>
      </c>
      <c r="B22" s="51">
        <f>'[10]MONTH8'!B16</f>
        <v>0</v>
      </c>
      <c r="C22" s="51">
        <f>'[10]MONTH8'!C16</f>
        <v>0</v>
      </c>
      <c r="D22" s="51">
        <f>'[10]MONTH8'!D16</f>
        <v>0</v>
      </c>
      <c r="E22" s="51">
        <f>'[10]MONTH8'!E16</f>
        <v>0</v>
      </c>
      <c r="F22" s="51">
        <f>'[10]MONTH8'!F16</f>
        <v>0</v>
      </c>
      <c r="G22" s="51">
        <f>'[10]MONTH8'!G16</f>
        <v>0</v>
      </c>
      <c r="H22" s="51">
        <f>'[10]MONTH8'!H16</f>
        <v>0</v>
      </c>
      <c r="I22" s="51">
        <f>'[10]MONTH8'!I16</f>
        <v>0</v>
      </c>
      <c r="J22" s="78">
        <f t="shared" si="7"/>
        <v>0</v>
      </c>
      <c r="K22" s="52">
        <f>'[10]MONTH8'!J16</f>
        <v>0</v>
      </c>
      <c r="L22" s="52">
        <f>'[10]MONTH8'!K16</f>
        <v>0</v>
      </c>
      <c r="M22" s="78">
        <f t="shared" si="8"/>
        <v>0</v>
      </c>
      <c r="N22" s="52">
        <f>'[10]MONTH8'!L16</f>
        <v>0</v>
      </c>
      <c r="O22" s="64" t="e">
        <f t="shared" si="9"/>
        <v>#DIV/0!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6"/>
      <c r="AD22" s="77"/>
      <c r="AE22" s="78">
        <f t="shared" si="4"/>
        <v>0</v>
      </c>
      <c r="AF22" s="51">
        <f t="shared" si="4"/>
        <v>0</v>
      </c>
      <c r="AG22" s="51">
        <f t="shared" si="1"/>
        <v>0</v>
      </c>
      <c r="AH22" s="51">
        <f t="shared" si="1"/>
        <v>0</v>
      </c>
      <c r="AI22" s="51">
        <f t="shared" si="1"/>
        <v>0</v>
      </c>
      <c r="AJ22" s="51">
        <f t="shared" si="1"/>
        <v>0</v>
      </c>
      <c r="AK22" s="51">
        <f t="shared" si="1"/>
        <v>0</v>
      </c>
      <c r="AL22" s="51">
        <f t="shared" si="1"/>
        <v>0</v>
      </c>
      <c r="AM22" s="78">
        <f t="shared" si="2"/>
        <v>0</v>
      </c>
      <c r="AN22" s="78">
        <f t="shared" si="5"/>
        <v>0</v>
      </c>
      <c r="AO22" s="78">
        <f t="shared" si="5"/>
        <v>0</v>
      </c>
      <c r="AP22" s="78">
        <f t="shared" si="3"/>
        <v>0</v>
      </c>
      <c r="AQ22" s="78">
        <f t="shared" si="6"/>
        <v>0</v>
      </c>
      <c r="AR22" s="78" t="e">
        <f>AP22/AQ22</f>
        <v>#DIV/0!</v>
      </c>
    </row>
    <row r="23" spans="1:44" s="60" customFormat="1" ht="12.75">
      <c r="A23" s="89">
        <f>'[10]MONTH8'!$A17</f>
        <v>0</v>
      </c>
      <c r="B23" s="51">
        <f>'[10]MONTH8'!B17</f>
        <v>0</v>
      </c>
      <c r="C23" s="51">
        <f>'[10]MONTH8'!C17</f>
        <v>0</v>
      </c>
      <c r="D23" s="51">
        <f>'[10]MONTH8'!D17</f>
        <v>0</v>
      </c>
      <c r="E23" s="51">
        <f>'[10]MONTH8'!E17</f>
        <v>0</v>
      </c>
      <c r="F23" s="51">
        <f>'[10]MONTH8'!F17</f>
        <v>0</v>
      </c>
      <c r="G23" s="51">
        <f>'[10]MONTH8'!G17</f>
        <v>0</v>
      </c>
      <c r="H23" s="51">
        <f>'[10]MONTH8'!H17</f>
        <v>0</v>
      </c>
      <c r="I23" s="51">
        <f>'[10]MONTH8'!I17</f>
        <v>0</v>
      </c>
      <c r="J23" s="78">
        <f t="shared" si="7"/>
        <v>0</v>
      </c>
      <c r="K23" s="52">
        <f>'[10]MONTH8'!J17</f>
        <v>0</v>
      </c>
      <c r="L23" s="52">
        <f>'[10]MONTH8'!K17</f>
        <v>0</v>
      </c>
      <c r="M23" s="78">
        <f t="shared" si="8"/>
        <v>0</v>
      </c>
      <c r="N23" s="52">
        <f>'[10]MONTH8'!L17</f>
        <v>0</v>
      </c>
      <c r="O23" s="64" t="e">
        <f t="shared" si="9"/>
        <v>#DIV/0!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76"/>
      <c r="AD23" s="77"/>
      <c r="AE23" s="78">
        <f t="shared" si="4"/>
        <v>0</v>
      </c>
      <c r="AF23" s="51">
        <f t="shared" si="4"/>
        <v>0</v>
      </c>
      <c r="AG23" s="51">
        <f t="shared" si="1"/>
        <v>0</v>
      </c>
      <c r="AH23" s="51">
        <f t="shared" si="1"/>
        <v>0</v>
      </c>
      <c r="AI23" s="51">
        <f t="shared" si="1"/>
        <v>0</v>
      </c>
      <c r="AJ23" s="51">
        <f t="shared" si="1"/>
        <v>0</v>
      </c>
      <c r="AK23" s="51">
        <f t="shared" si="1"/>
        <v>0</v>
      </c>
      <c r="AL23" s="51">
        <f t="shared" si="1"/>
        <v>0</v>
      </c>
      <c r="AM23" s="78">
        <f aca="true" t="shared" si="21" ref="AM23:AM38">SUM(AE23:AL23)</f>
        <v>0</v>
      </c>
      <c r="AN23" s="78">
        <f t="shared" si="5"/>
        <v>0</v>
      </c>
      <c r="AO23" s="78">
        <f t="shared" si="5"/>
        <v>0</v>
      </c>
      <c r="AP23" s="78">
        <f t="shared" si="3"/>
        <v>0</v>
      </c>
      <c r="AQ23" s="78">
        <f t="shared" si="6"/>
        <v>0</v>
      </c>
      <c r="AR23" s="78"/>
    </row>
    <row r="24" spans="1:44" s="60" customFormat="1" ht="12.75">
      <c r="A24" s="89">
        <f>'[10]MONTH8'!$A18</f>
        <v>0</v>
      </c>
      <c r="B24" s="51">
        <f>'[10]MONTH8'!B18</f>
        <v>0</v>
      </c>
      <c r="C24" s="51">
        <f>'[10]MONTH8'!C18</f>
        <v>0</v>
      </c>
      <c r="D24" s="51">
        <f>'[10]MONTH8'!D18</f>
        <v>0</v>
      </c>
      <c r="E24" s="51">
        <f>'[10]MONTH8'!E18</f>
        <v>0</v>
      </c>
      <c r="F24" s="51">
        <f>'[10]MONTH8'!F18</f>
        <v>0</v>
      </c>
      <c r="G24" s="51">
        <f>'[10]MONTH8'!G18</f>
        <v>0</v>
      </c>
      <c r="H24" s="51">
        <f>'[10]MONTH8'!H18</f>
        <v>0</v>
      </c>
      <c r="I24" s="51">
        <f>'[10]MONTH8'!I18</f>
        <v>0</v>
      </c>
      <c r="J24" s="78">
        <f t="shared" si="7"/>
        <v>0</v>
      </c>
      <c r="K24" s="52">
        <f>'[10]MONTH8'!J18</f>
        <v>0</v>
      </c>
      <c r="L24" s="52">
        <f>'[10]MONTH8'!K18</f>
        <v>0</v>
      </c>
      <c r="M24" s="78">
        <f t="shared" si="8"/>
        <v>0</v>
      </c>
      <c r="N24" s="52">
        <f>'[10]MONTH8'!L18</f>
        <v>0</v>
      </c>
      <c r="O24" s="64" t="e">
        <f t="shared" si="9"/>
        <v>#DIV/0!</v>
      </c>
      <c r="P24" s="78">
        <f>$X$3/$X$5*($P$1/$X$1)</f>
        <v>46277.733758148526</v>
      </c>
      <c r="Q24" s="78">
        <f>$X$3/$X$5*($Q$1/$X$1)</f>
        <v>6356.586831347501</v>
      </c>
      <c r="R24" s="78">
        <f>$X$3/$X$5*($R$1/$X$1)</f>
        <v>16260.518165674213</v>
      </c>
      <c r="S24" s="78">
        <f>$X$3/$X$5*($S$1/$X$1)</f>
        <v>43404.861931968946</v>
      </c>
      <c r="T24" s="78">
        <f>$X$3/$X$5*($T$1/$X$1)</f>
        <v>26199.445723797136</v>
      </c>
      <c r="U24" s="78">
        <f>$X$3/$X$5*($U$1/$X$1)</f>
        <v>2939.682798881427</v>
      </c>
      <c r="V24" s="78">
        <f>$X$3/$X$5*($V$1/$X$1)</f>
        <v>10377.971093020795</v>
      </c>
      <c r="W24" s="78">
        <f>$X$3/$X$5*($W$1/$X$1)</f>
        <v>4046.836060797809</v>
      </c>
      <c r="X24" s="78">
        <f>SUM(P24:W24)</f>
        <v>155863.63636363635</v>
      </c>
      <c r="Y24" s="78">
        <f>$Y$3/$X$5</f>
        <v>103431.81818181818</v>
      </c>
      <c r="Z24" s="78">
        <f>$Z$3/$X$5</f>
        <v>103431.81818181818</v>
      </c>
      <c r="AA24" s="78">
        <f>SUM(X24:Z24)</f>
        <v>362727.2727272727</v>
      </c>
      <c r="AB24" s="78">
        <f>$AB$3/$X$5</f>
        <v>373045.45454545453</v>
      </c>
      <c r="AC24" s="76">
        <f>AA24/AB24</f>
        <v>0.9723406847812842</v>
      </c>
      <c r="AD24" s="77"/>
      <c r="AE24" s="78">
        <f t="shared" si="4"/>
        <v>-46277.733758148526</v>
      </c>
      <c r="AF24" s="51">
        <f t="shared" si="4"/>
        <v>-6356.586831347501</v>
      </c>
      <c r="AG24" s="51">
        <f t="shared" si="4"/>
        <v>-16260.518165674213</v>
      </c>
      <c r="AH24" s="51">
        <f t="shared" si="4"/>
        <v>-43404.861931968946</v>
      </c>
      <c r="AI24" s="51">
        <f t="shared" si="4"/>
        <v>-26199.445723797136</v>
      </c>
      <c r="AJ24" s="51">
        <f t="shared" si="4"/>
        <v>-2939.682798881427</v>
      </c>
      <c r="AK24" s="51">
        <f t="shared" si="4"/>
        <v>-10377.971093020795</v>
      </c>
      <c r="AL24" s="51">
        <f t="shared" si="4"/>
        <v>-4046.836060797809</v>
      </c>
      <c r="AM24" s="78">
        <f t="shared" si="21"/>
        <v>-155863.63636363635</v>
      </c>
      <c r="AN24" s="78">
        <f t="shared" si="5"/>
        <v>-103431.81818181818</v>
      </c>
      <c r="AO24" s="78">
        <f t="shared" si="5"/>
        <v>-103431.81818181818</v>
      </c>
      <c r="AP24" s="78">
        <f t="shared" si="3"/>
        <v>-362727.2727272727</v>
      </c>
      <c r="AQ24" s="78">
        <f t="shared" si="6"/>
        <v>-373045.45454545453</v>
      </c>
      <c r="AR24" s="78"/>
    </row>
    <row r="25" spans="1:44" s="60" customFormat="1" ht="12.75">
      <c r="A25" s="89">
        <f>'[10]MONTH8'!$A19</f>
        <v>0</v>
      </c>
      <c r="B25" s="51">
        <f>'[10]MONTH8'!B19</f>
        <v>0</v>
      </c>
      <c r="C25" s="51">
        <f>'[10]MONTH8'!C19</f>
        <v>0</v>
      </c>
      <c r="D25" s="51">
        <f>'[10]MONTH8'!D19</f>
        <v>0</v>
      </c>
      <c r="E25" s="51">
        <f>'[10]MONTH8'!E19</f>
        <v>0</v>
      </c>
      <c r="F25" s="51">
        <f>'[10]MONTH8'!F19</f>
        <v>0</v>
      </c>
      <c r="G25" s="51">
        <f>'[10]MONTH8'!G19</f>
        <v>0</v>
      </c>
      <c r="H25" s="51">
        <f>'[10]MONTH8'!H19</f>
        <v>0</v>
      </c>
      <c r="I25" s="51">
        <f>'[10]MONTH8'!I19</f>
        <v>0</v>
      </c>
      <c r="J25" s="78">
        <f t="shared" si="7"/>
        <v>0</v>
      </c>
      <c r="K25" s="52">
        <f>'[10]MONTH8'!J19</f>
        <v>0</v>
      </c>
      <c r="L25" s="52">
        <f>'[10]MONTH8'!K19</f>
        <v>0</v>
      </c>
      <c r="M25" s="78">
        <f t="shared" si="8"/>
        <v>0</v>
      </c>
      <c r="N25" s="52">
        <f>'[10]MONTH8'!L19</f>
        <v>0</v>
      </c>
      <c r="O25" s="64" t="e">
        <f t="shared" si="9"/>
        <v>#DIV/0!</v>
      </c>
      <c r="P25" s="78">
        <f>$X$3/$X$5*($P$1/$X$1)</f>
        <v>46277.733758148526</v>
      </c>
      <c r="Q25" s="78">
        <f>$X$3/$X$5*($Q$1/$X$1)</f>
        <v>6356.586831347501</v>
      </c>
      <c r="R25" s="78">
        <f>$X$3/$X$5*($R$1/$X$1)</f>
        <v>16260.518165674213</v>
      </c>
      <c r="S25" s="78">
        <f>$X$3/$X$5*($S$1/$X$1)</f>
        <v>43404.861931968946</v>
      </c>
      <c r="T25" s="78">
        <f>$X$3/$X$5*($T$1/$X$1)</f>
        <v>26199.445723797136</v>
      </c>
      <c r="U25" s="78">
        <f>$X$3/$X$5*($U$1/$X$1)</f>
        <v>2939.682798881427</v>
      </c>
      <c r="V25" s="78">
        <f>$X$3/$X$5*($V$1/$X$1)</f>
        <v>10377.971093020795</v>
      </c>
      <c r="W25" s="78">
        <f>$X$3/$X$5*($W$1/$X$1)</f>
        <v>4046.836060797809</v>
      </c>
      <c r="X25" s="78">
        <f>SUM(P25:W25)</f>
        <v>155863.63636363635</v>
      </c>
      <c r="Y25" s="78">
        <f>$Y$3/$X$5</f>
        <v>103431.81818181818</v>
      </c>
      <c r="Z25" s="78">
        <f>$Z$3/$X$5</f>
        <v>103431.81818181818</v>
      </c>
      <c r="AA25" s="78">
        <f>SUM(X25:Z25)</f>
        <v>362727.2727272727</v>
      </c>
      <c r="AB25" s="78">
        <f>$AB$3/$X$5</f>
        <v>373045.45454545453</v>
      </c>
      <c r="AC25" s="76">
        <f>AA25/AB25</f>
        <v>0.9723406847812842</v>
      </c>
      <c r="AD25" s="77"/>
      <c r="AE25" s="78">
        <f t="shared" si="4"/>
        <v>-46277.733758148526</v>
      </c>
      <c r="AF25" s="51">
        <f t="shared" si="4"/>
        <v>-6356.586831347501</v>
      </c>
      <c r="AG25" s="51">
        <f t="shared" si="4"/>
        <v>-16260.518165674213</v>
      </c>
      <c r="AH25" s="51">
        <f t="shared" si="4"/>
        <v>-43404.861931968946</v>
      </c>
      <c r="AI25" s="51">
        <f t="shared" si="4"/>
        <v>-26199.445723797136</v>
      </c>
      <c r="AJ25" s="51">
        <f t="shared" si="4"/>
        <v>-2939.682798881427</v>
      </c>
      <c r="AK25" s="51">
        <f t="shared" si="4"/>
        <v>-10377.971093020795</v>
      </c>
      <c r="AL25" s="51">
        <f t="shared" si="4"/>
        <v>-4046.836060797809</v>
      </c>
      <c r="AM25" s="78">
        <f t="shared" si="21"/>
        <v>-155863.63636363635</v>
      </c>
      <c r="AN25" s="78">
        <f t="shared" si="5"/>
        <v>-103431.81818181818</v>
      </c>
      <c r="AO25" s="78">
        <f t="shared" si="5"/>
        <v>-103431.81818181818</v>
      </c>
      <c r="AP25" s="78">
        <f t="shared" si="3"/>
        <v>-362727.2727272727</v>
      </c>
      <c r="AQ25" s="78">
        <f t="shared" si="6"/>
        <v>-373045.45454545453</v>
      </c>
      <c r="AR25" s="78">
        <f>AP25/AQ25</f>
        <v>0.9723406847812842</v>
      </c>
    </row>
    <row r="26" spans="1:85" s="95" customFormat="1" ht="12.75">
      <c r="A26" s="89">
        <f>'[10]MONTH8'!$A20</f>
        <v>0</v>
      </c>
      <c r="B26" s="51">
        <f>'[10]MONTH8'!B20</f>
        <v>0</v>
      </c>
      <c r="C26" s="51">
        <f>'[10]MONTH8'!C20</f>
        <v>0</v>
      </c>
      <c r="D26" s="51">
        <f>'[10]MONTH8'!D20</f>
        <v>0</v>
      </c>
      <c r="E26" s="51">
        <f>'[10]MONTH8'!E20</f>
        <v>0</v>
      </c>
      <c r="F26" s="51">
        <f>'[10]MONTH8'!F20</f>
        <v>0</v>
      </c>
      <c r="G26" s="51">
        <f>'[10]MONTH8'!G20</f>
        <v>0</v>
      </c>
      <c r="H26" s="51">
        <f>'[10]MONTH8'!H20</f>
        <v>0</v>
      </c>
      <c r="I26" s="51">
        <f>'[10]MONTH8'!I20</f>
        <v>0</v>
      </c>
      <c r="J26" s="91">
        <f t="shared" si="7"/>
        <v>0</v>
      </c>
      <c r="K26" s="52">
        <f>'[10]MONTH8'!J20</f>
        <v>0</v>
      </c>
      <c r="L26" s="52">
        <f>'[10]MONTH8'!K20</f>
        <v>0</v>
      </c>
      <c r="M26" s="91">
        <f t="shared" si="8"/>
        <v>0</v>
      </c>
      <c r="N26" s="52">
        <f>'[10]MONTH8'!L20</f>
        <v>0</v>
      </c>
      <c r="O26" s="92" t="e">
        <f t="shared" si="9"/>
        <v>#DIV/0!</v>
      </c>
      <c r="P26" s="91">
        <f>$X$3/$X$5*($P$1/$X$1)</f>
        <v>46277.733758148526</v>
      </c>
      <c r="Q26" s="91">
        <f>$X$3/$X$5*($Q$1/$X$1)</f>
        <v>6356.586831347501</v>
      </c>
      <c r="R26" s="91">
        <f>$X$3/$X$5*($R$1/$X$1)</f>
        <v>16260.518165674213</v>
      </c>
      <c r="S26" s="91">
        <f>$X$3/$X$5*($S$1/$X$1)</f>
        <v>43404.861931968946</v>
      </c>
      <c r="T26" s="91">
        <f>$X$3/$X$5*($T$1/$X$1)</f>
        <v>26199.445723797136</v>
      </c>
      <c r="U26" s="91">
        <f>$X$3/$X$5*($U$1/$X$1)</f>
        <v>2939.682798881427</v>
      </c>
      <c r="V26" s="91">
        <f>$X$3/$X$5*($V$1/$X$1)</f>
        <v>10377.971093020795</v>
      </c>
      <c r="W26" s="91">
        <f>$X$3/$X$5*($W$1/$X$1)</f>
        <v>4046.836060797809</v>
      </c>
      <c r="X26" s="91">
        <f>SUM(P26:W26)</f>
        <v>155863.63636363635</v>
      </c>
      <c r="Y26" s="91">
        <f>$Y$3/$X$5</f>
        <v>103431.81818181818</v>
      </c>
      <c r="Z26" s="91">
        <f>$Z$3/$X$5</f>
        <v>103431.81818181818</v>
      </c>
      <c r="AA26" s="91">
        <f>SUM(X26:Z26)</f>
        <v>362727.2727272727</v>
      </c>
      <c r="AB26" s="91">
        <f>$AB$3/$X$5</f>
        <v>373045.45454545453</v>
      </c>
      <c r="AC26" s="93">
        <f>AA26/AB26</f>
        <v>0.9723406847812842</v>
      </c>
      <c r="AD26" s="94"/>
      <c r="AE26" s="91">
        <f t="shared" si="4"/>
        <v>-46277.733758148526</v>
      </c>
      <c r="AF26" s="90">
        <f t="shared" si="4"/>
        <v>-6356.586831347501</v>
      </c>
      <c r="AG26" s="90">
        <f t="shared" si="4"/>
        <v>-16260.518165674213</v>
      </c>
      <c r="AH26" s="90">
        <f t="shared" si="4"/>
        <v>-43404.861931968946</v>
      </c>
      <c r="AI26" s="90">
        <f t="shared" si="4"/>
        <v>-26199.445723797136</v>
      </c>
      <c r="AJ26" s="90">
        <f t="shared" si="4"/>
        <v>-2939.682798881427</v>
      </c>
      <c r="AK26" s="90">
        <f t="shared" si="4"/>
        <v>-10377.971093020795</v>
      </c>
      <c r="AL26" s="90">
        <f t="shared" si="4"/>
        <v>-4046.836060797809</v>
      </c>
      <c r="AM26" s="91">
        <f t="shared" si="21"/>
        <v>-155863.63636363635</v>
      </c>
      <c r="AN26" s="91">
        <f t="shared" si="5"/>
        <v>-103431.81818181818</v>
      </c>
      <c r="AO26" s="91">
        <f t="shared" si="5"/>
        <v>-103431.81818181818</v>
      </c>
      <c r="AP26" s="91">
        <f t="shared" si="3"/>
        <v>-362727.2727272727</v>
      </c>
      <c r="AQ26" s="91">
        <f t="shared" si="6"/>
        <v>-373045.45454545453</v>
      </c>
      <c r="AR26" s="91">
        <f>AP26/AQ26</f>
        <v>0.9723406847812842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s="95" customFormat="1" ht="12.75">
      <c r="A27" s="89">
        <f>'[10]MONTH8'!$A21</f>
        <v>0</v>
      </c>
      <c r="B27" s="51">
        <f>'[10]MONTH8'!B21</f>
        <v>0</v>
      </c>
      <c r="C27" s="51">
        <f>'[10]MONTH8'!C21</f>
        <v>0</v>
      </c>
      <c r="D27" s="51">
        <f>'[10]MONTH8'!D21</f>
        <v>0</v>
      </c>
      <c r="E27" s="51">
        <f>'[10]MONTH8'!E21</f>
        <v>0</v>
      </c>
      <c r="F27" s="51">
        <f>'[10]MONTH8'!F21</f>
        <v>0</v>
      </c>
      <c r="G27" s="51">
        <f>'[10]MONTH8'!G21</f>
        <v>0</v>
      </c>
      <c r="H27" s="51">
        <f>'[10]MONTH8'!H21</f>
        <v>0</v>
      </c>
      <c r="I27" s="51">
        <f>'[10]MONTH8'!I21</f>
        <v>0</v>
      </c>
      <c r="J27" s="91">
        <f t="shared" si="7"/>
        <v>0</v>
      </c>
      <c r="K27" s="52">
        <f>'[10]MONTH8'!J21</f>
        <v>0</v>
      </c>
      <c r="L27" s="52">
        <f>'[10]MONTH8'!K21</f>
        <v>0</v>
      </c>
      <c r="M27" s="91">
        <f t="shared" si="8"/>
        <v>0</v>
      </c>
      <c r="N27" s="52">
        <f>'[10]MONTH8'!L21</f>
        <v>0</v>
      </c>
      <c r="O27" s="92" t="e">
        <f t="shared" si="9"/>
        <v>#DIV/0!</v>
      </c>
      <c r="P27" s="91">
        <f>$X$3/$X$5*($P$1/$X$1)</f>
        <v>46277.733758148526</v>
      </c>
      <c r="Q27" s="91">
        <f>$X$3/$X$5*($Q$1/$X$1)</f>
        <v>6356.586831347501</v>
      </c>
      <c r="R27" s="91">
        <f>$X$3/$X$5*($R$1/$X$1)</f>
        <v>16260.518165674213</v>
      </c>
      <c r="S27" s="91">
        <f>$X$3/$X$5*($S$1/$X$1)</f>
        <v>43404.861931968946</v>
      </c>
      <c r="T27" s="91">
        <f>$X$3/$X$5*($T$1/$X$1)</f>
        <v>26199.445723797136</v>
      </c>
      <c r="U27" s="91">
        <f>$X$3/$X$5*($U$1/$X$1)</f>
        <v>2939.682798881427</v>
      </c>
      <c r="V27" s="91">
        <f>$X$3/$X$5*($V$1/$X$1)</f>
        <v>10377.971093020795</v>
      </c>
      <c r="W27" s="91">
        <f>$X$3/$X$5*($W$1/$X$1)</f>
        <v>4046.836060797809</v>
      </c>
      <c r="X27" s="91">
        <f>SUM(P27:W27)</f>
        <v>155863.63636363635</v>
      </c>
      <c r="Y27" s="91">
        <f>$Y$3/$X$5</f>
        <v>103431.81818181818</v>
      </c>
      <c r="Z27" s="91">
        <f>$Z$3/$X$5</f>
        <v>103431.81818181818</v>
      </c>
      <c r="AA27" s="91">
        <f>SUM(X27:Z27)</f>
        <v>362727.2727272727</v>
      </c>
      <c r="AB27" s="91">
        <f>$AB$3/$X$5</f>
        <v>373045.45454545453</v>
      </c>
      <c r="AC27" s="93">
        <f>AA27/AB27</f>
        <v>0.9723406847812842</v>
      </c>
      <c r="AD27" s="94"/>
      <c r="AE27" s="91">
        <f t="shared" si="4"/>
        <v>-46277.733758148526</v>
      </c>
      <c r="AF27" s="90">
        <f t="shared" si="4"/>
        <v>-6356.586831347501</v>
      </c>
      <c r="AG27" s="90">
        <f t="shared" si="4"/>
        <v>-16260.518165674213</v>
      </c>
      <c r="AH27" s="90">
        <f t="shared" si="4"/>
        <v>-43404.861931968946</v>
      </c>
      <c r="AI27" s="90">
        <f t="shared" si="4"/>
        <v>-26199.445723797136</v>
      </c>
      <c r="AJ27" s="90">
        <f t="shared" si="4"/>
        <v>-2939.682798881427</v>
      </c>
      <c r="AK27" s="90">
        <f t="shared" si="4"/>
        <v>-10377.971093020795</v>
      </c>
      <c r="AL27" s="90">
        <f t="shared" si="4"/>
        <v>-4046.836060797809</v>
      </c>
      <c r="AM27" s="91">
        <f t="shared" si="21"/>
        <v>-155863.63636363635</v>
      </c>
      <c r="AN27" s="91">
        <f t="shared" si="5"/>
        <v>-103431.81818181818</v>
      </c>
      <c r="AO27" s="91">
        <f t="shared" si="5"/>
        <v>-103431.81818181818</v>
      </c>
      <c r="AP27" s="91">
        <f t="shared" si="3"/>
        <v>-362727.2727272727</v>
      </c>
      <c r="AQ27" s="91">
        <f t="shared" si="6"/>
        <v>-373045.45454545453</v>
      </c>
      <c r="AR27" s="91">
        <f>AP27/AQ27</f>
        <v>0.9723406847812842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44" s="60" customFormat="1" ht="12.75">
      <c r="A28" s="89">
        <f>'[10]MONTH8'!$A22</f>
        <v>0</v>
      </c>
      <c r="B28" s="51">
        <f>'[10]MONTH8'!B22</f>
        <v>0</v>
      </c>
      <c r="C28" s="51">
        <f>'[10]MONTH8'!C22</f>
        <v>0</v>
      </c>
      <c r="D28" s="51">
        <f>'[10]MONTH8'!D22</f>
        <v>0</v>
      </c>
      <c r="E28" s="51">
        <f>'[10]MONTH8'!E22</f>
        <v>0</v>
      </c>
      <c r="F28" s="51">
        <f>'[10]MONTH8'!F22</f>
        <v>0</v>
      </c>
      <c r="G28" s="51">
        <f>'[10]MONTH8'!G22</f>
        <v>0</v>
      </c>
      <c r="H28" s="51">
        <f>'[10]MONTH8'!H22</f>
        <v>0</v>
      </c>
      <c r="I28" s="51">
        <f>'[10]MONTH8'!I22</f>
        <v>0</v>
      </c>
      <c r="J28" s="78">
        <f t="shared" si="7"/>
        <v>0</v>
      </c>
      <c r="K28" s="52">
        <f>'[10]MONTH8'!J22</f>
        <v>0</v>
      </c>
      <c r="L28" s="52">
        <f>'[10]MONTH8'!K22</f>
        <v>0</v>
      </c>
      <c r="M28" s="78">
        <f t="shared" si="8"/>
        <v>0</v>
      </c>
      <c r="N28" s="52">
        <f>'[10]MONTH8'!L22</f>
        <v>0</v>
      </c>
      <c r="O28" s="64" t="e">
        <f t="shared" si="9"/>
        <v>#DIV/0!</v>
      </c>
      <c r="P28" s="78"/>
      <c r="Q28" s="78"/>
      <c r="R28" s="78"/>
      <c r="S28" s="78"/>
      <c r="T28" s="78"/>
      <c r="U28" s="78"/>
      <c r="V28" s="78"/>
      <c r="W28" s="78"/>
      <c r="X28" s="78">
        <f>SUM(P28:W28)</f>
        <v>0</v>
      </c>
      <c r="Y28" s="78"/>
      <c r="Z28" s="78"/>
      <c r="AA28" s="78">
        <f>SUM(X28:Z28)</f>
        <v>0</v>
      </c>
      <c r="AB28" s="78"/>
      <c r="AC28" s="76"/>
      <c r="AD28" s="77"/>
      <c r="AE28" s="78">
        <f t="shared" si="4"/>
        <v>0</v>
      </c>
      <c r="AF28" s="51">
        <f t="shared" si="4"/>
        <v>0</v>
      </c>
      <c r="AG28" s="51">
        <f t="shared" si="4"/>
        <v>0</v>
      </c>
      <c r="AH28" s="51">
        <f t="shared" si="4"/>
        <v>0</v>
      </c>
      <c r="AI28" s="51">
        <f t="shared" si="4"/>
        <v>0</v>
      </c>
      <c r="AJ28" s="51">
        <f t="shared" si="4"/>
        <v>0</v>
      </c>
      <c r="AK28" s="51">
        <f t="shared" si="4"/>
        <v>0</v>
      </c>
      <c r="AL28" s="51">
        <f t="shared" si="4"/>
        <v>0</v>
      </c>
      <c r="AM28" s="78">
        <f t="shared" si="21"/>
        <v>0</v>
      </c>
      <c r="AN28" s="78">
        <f t="shared" si="5"/>
        <v>0</v>
      </c>
      <c r="AO28" s="78">
        <f t="shared" si="5"/>
        <v>0</v>
      </c>
      <c r="AP28" s="78">
        <f t="shared" si="3"/>
        <v>0</v>
      </c>
      <c r="AQ28" s="78">
        <f t="shared" si="6"/>
        <v>0</v>
      </c>
      <c r="AR28" s="78" t="e">
        <f>AP28/AQ28</f>
        <v>#DIV/0!</v>
      </c>
    </row>
    <row r="29" spans="1:44" s="60" customFormat="1" ht="12.75">
      <c r="A29" s="89">
        <f>'[10]MONTH8'!$A23</f>
        <v>0</v>
      </c>
      <c r="B29" s="51">
        <f>'[10]MONTH8'!B23</f>
        <v>0</v>
      </c>
      <c r="C29" s="51">
        <f>'[10]MONTH8'!C23</f>
        <v>0</v>
      </c>
      <c r="D29" s="51">
        <f>'[10]MONTH8'!D23</f>
        <v>0</v>
      </c>
      <c r="E29" s="51">
        <f>'[10]MONTH8'!E23</f>
        <v>0</v>
      </c>
      <c r="F29" s="51">
        <f>'[10]MONTH8'!F23</f>
        <v>0</v>
      </c>
      <c r="G29" s="51">
        <f>'[10]MONTH8'!G23</f>
        <v>0</v>
      </c>
      <c r="H29" s="51">
        <f>'[10]MONTH8'!H23</f>
        <v>0</v>
      </c>
      <c r="I29" s="51">
        <f>'[10]MONTH8'!I23</f>
        <v>0</v>
      </c>
      <c r="J29" s="78">
        <f t="shared" si="7"/>
        <v>0</v>
      </c>
      <c r="K29" s="52">
        <f>'[10]MONTH8'!J23</f>
        <v>0</v>
      </c>
      <c r="L29" s="52">
        <f>'[10]MONTH8'!K23</f>
        <v>0</v>
      </c>
      <c r="M29" s="78">
        <f t="shared" si="8"/>
        <v>0</v>
      </c>
      <c r="N29" s="52">
        <f>'[10]MONTH8'!L23</f>
        <v>0</v>
      </c>
      <c r="O29" s="64" t="e">
        <f t="shared" si="9"/>
        <v>#DIV/0!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6"/>
      <c r="AD29" s="77"/>
      <c r="AE29" s="78">
        <f t="shared" si="4"/>
        <v>0</v>
      </c>
      <c r="AF29" s="51">
        <f t="shared" si="4"/>
        <v>0</v>
      </c>
      <c r="AG29" s="51">
        <f t="shared" si="4"/>
        <v>0</v>
      </c>
      <c r="AH29" s="51">
        <f t="shared" si="4"/>
        <v>0</v>
      </c>
      <c r="AI29" s="51">
        <f t="shared" si="4"/>
        <v>0</v>
      </c>
      <c r="AJ29" s="51">
        <f t="shared" si="4"/>
        <v>0</v>
      </c>
      <c r="AK29" s="51">
        <f t="shared" si="4"/>
        <v>0</v>
      </c>
      <c r="AL29" s="51">
        <f t="shared" si="4"/>
        <v>0</v>
      </c>
      <c r="AM29" s="78">
        <f t="shared" si="21"/>
        <v>0</v>
      </c>
      <c r="AN29" s="78">
        <f t="shared" si="5"/>
        <v>0</v>
      </c>
      <c r="AO29" s="78">
        <f t="shared" si="5"/>
        <v>0</v>
      </c>
      <c r="AP29" s="78">
        <f t="shared" si="3"/>
        <v>0</v>
      </c>
      <c r="AQ29" s="78">
        <f t="shared" si="6"/>
        <v>0</v>
      </c>
      <c r="AR29" s="78"/>
    </row>
    <row r="30" spans="1:44" s="60" customFormat="1" ht="12.75">
      <c r="A30" s="89">
        <f>'[10]MONTH8'!$A24</f>
        <v>0</v>
      </c>
      <c r="B30" s="51">
        <f>'[10]MONTH8'!B24</f>
        <v>0</v>
      </c>
      <c r="C30" s="51">
        <f>'[10]MONTH8'!C24</f>
        <v>0</v>
      </c>
      <c r="D30" s="51">
        <f>'[10]MONTH8'!D24</f>
        <v>0</v>
      </c>
      <c r="E30" s="51">
        <f>'[10]MONTH8'!E24</f>
        <v>0</v>
      </c>
      <c r="F30" s="51">
        <f>'[10]MONTH8'!F24</f>
        <v>0</v>
      </c>
      <c r="G30" s="51">
        <f>'[10]MONTH8'!G24</f>
        <v>0</v>
      </c>
      <c r="H30" s="51">
        <f>'[10]MONTH8'!H24</f>
        <v>0</v>
      </c>
      <c r="I30" s="51">
        <f>'[10]MONTH8'!I24</f>
        <v>0</v>
      </c>
      <c r="J30" s="78">
        <f t="shared" si="7"/>
        <v>0</v>
      </c>
      <c r="K30" s="52">
        <f>'[10]MONTH8'!J24</f>
        <v>0</v>
      </c>
      <c r="L30" s="52">
        <f>'[10]MONTH8'!K24</f>
        <v>0</v>
      </c>
      <c r="M30" s="78">
        <f t="shared" si="8"/>
        <v>0</v>
      </c>
      <c r="N30" s="52">
        <f>'[10]MONTH8'!L24</f>
        <v>0</v>
      </c>
      <c r="O30" s="64" t="e">
        <f t="shared" si="9"/>
        <v>#DIV/0!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76"/>
      <c r="AD30" s="77"/>
      <c r="AE30" s="78">
        <f t="shared" si="4"/>
        <v>0</v>
      </c>
      <c r="AF30" s="51">
        <f t="shared" si="4"/>
        <v>0</v>
      </c>
      <c r="AG30" s="51">
        <f t="shared" si="4"/>
        <v>0</v>
      </c>
      <c r="AH30" s="51">
        <f t="shared" si="4"/>
        <v>0</v>
      </c>
      <c r="AI30" s="51">
        <f t="shared" si="4"/>
        <v>0</v>
      </c>
      <c r="AJ30" s="51">
        <f t="shared" si="4"/>
        <v>0</v>
      </c>
      <c r="AK30" s="51">
        <f t="shared" si="4"/>
        <v>0</v>
      </c>
      <c r="AL30" s="51">
        <f t="shared" si="4"/>
        <v>0</v>
      </c>
      <c r="AM30" s="78">
        <f t="shared" si="21"/>
        <v>0</v>
      </c>
      <c r="AN30" s="78">
        <f t="shared" si="5"/>
        <v>0</v>
      </c>
      <c r="AO30" s="78">
        <f t="shared" si="5"/>
        <v>0</v>
      </c>
      <c r="AP30" s="78">
        <f t="shared" si="3"/>
        <v>0</v>
      </c>
      <c r="AQ30" s="78">
        <f t="shared" si="6"/>
        <v>0</v>
      </c>
      <c r="AR30" s="78"/>
    </row>
    <row r="31" spans="1:44" s="60" customFormat="1" ht="12.75">
      <c r="A31" s="89">
        <f>'[10]MONTH8'!$A25</f>
        <v>0</v>
      </c>
      <c r="B31" s="51">
        <f>'[10]MONTH8'!B25</f>
        <v>0</v>
      </c>
      <c r="C31" s="51">
        <f>'[10]MONTH8'!C25</f>
        <v>0</v>
      </c>
      <c r="D31" s="51">
        <f>'[10]MONTH8'!D25</f>
        <v>0</v>
      </c>
      <c r="E31" s="51">
        <f>'[10]MONTH8'!E25</f>
        <v>0</v>
      </c>
      <c r="F31" s="51">
        <f>'[10]MONTH8'!F25</f>
        <v>0</v>
      </c>
      <c r="G31" s="51">
        <f>'[10]MONTH8'!G25</f>
        <v>0</v>
      </c>
      <c r="H31" s="51">
        <f>'[10]MONTH8'!H25</f>
        <v>0</v>
      </c>
      <c r="I31" s="51">
        <f>'[10]MONTH8'!I25</f>
        <v>0</v>
      </c>
      <c r="J31" s="78">
        <f t="shared" si="7"/>
        <v>0</v>
      </c>
      <c r="K31" s="52">
        <f>'[10]MONTH8'!J25</f>
        <v>0</v>
      </c>
      <c r="L31" s="52">
        <f>'[10]MONTH8'!K25</f>
        <v>0</v>
      </c>
      <c r="M31" s="78">
        <f t="shared" si="8"/>
        <v>0</v>
      </c>
      <c r="N31" s="52">
        <f>'[10]MONTH8'!L25</f>
        <v>0</v>
      </c>
      <c r="O31" s="64" t="e">
        <f t="shared" si="9"/>
        <v>#DIV/0!</v>
      </c>
      <c r="P31" s="78">
        <f aca="true" t="shared" si="22" ref="P31:P36">$X$3/$X$5*($P$1/$X$1)</f>
        <v>46277.733758148526</v>
      </c>
      <c r="Q31" s="78">
        <f aca="true" t="shared" si="23" ref="Q31:Q36">$X$3/$X$5*($Q$1/$X$1)</f>
        <v>6356.586831347501</v>
      </c>
      <c r="R31" s="78">
        <f aca="true" t="shared" si="24" ref="R31:R36">$X$3/$X$5*($R$1/$X$1)</f>
        <v>16260.518165674213</v>
      </c>
      <c r="S31" s="78">
        <f aca="true" t="shared" si="25" ref="S31:S36">$X$3/$X$5*($S$1/$X$1)</f>
        <v>43404.861931968946</v>
      </c>
      <c r="T31" s="78">
        <f aca="true" t="shared" si="26" ref="T31:T36">$X$3/$X$5*($T$1/$X$1)</f>
        <v>26199.445723797136</v>
      </c>
      <c r="U31" s="78">
        <f aca="true" t="shared" si="27" ref="U31:U36">$X$3/$X$5*($U$1/$X$1)</f>
        <v>2939.682798881427</v>
      </c>
      <c r="V31" s="78">
        <f aca="true" t="shared" si="28" ref="V31:V36">$X$3/$X$5*($V$1/$X$1)</f>
        <v>10377.971093020795</v>
      </c>
      <c r="W31" s="78">
        <f aca="true" t="shared" si="29" ref="W31:W36">$X$3/$X$5*($W$1/$X$1)</f>
        <v>4046.836060797809</v>
      </c>
      <c r="X31" s="78">
        <f aca="true" t="shared" si="30" ref="X31:X36">SUM(P31:W31)</f>
        <v>155863.63636363635</v>
      </c>
      <c r="Y31" s="78">
        <f aca="true" t="shared" si="31" ref="Y31:Y36">$Y$3/$X$5</f>
        <v>103431.81818181818</v>
      </c>
      <c r="Z31" s="78">
        <f aca="true" t="shared" si="32" ref="Z31:Z36">$Z$3/$X$5</f>
        <v>103431.81818181818</v>
      </c>
      <c r="AA31" s="78">
        <f aca="true" t="shared" si="33" ref="AA31:AA36">SUM(X31:Z31)</f>
        <v>362727.2727272727</v>
      </c>
      <c r="AB31" s="78">
        <f>$AB$3/$X$5</f>
        <v>373045.45454545453</v>
      </c>
      <c r="AC31" s="76">
        <f>AA31/AB31</f>
        <v>0.9723406847812842</v>
      </c>
      <c r="AD31" s="77"/>
      <c r="AE31" s="78">
        <f t="shared" si="4"/>
        <v>-46277.733758148526</v>
      </c>
      <c r="AF31" s="51">
        <f t="shared" si="4"/>
        <v>-6356.586831347501</v>
      </c>
      <c r="AG31" s="51">
        <f t="shared" si="4"/>
        <v>-16260.518165674213</v>
      </c>
      <c r="AH31" s="51">
        <f t="shared" si="4"/>
        <v>-43404.861931968946</v>
      </c>
      <c r="AI31" s="51">
        <f t="shared" si="4"/>
        <v>-26199.445723797136</v>
      </c>
      <c r="AJ31" s="51">
        <f t="shared" si="4"/>
        <v>-2939.682798881427</v>
      </c>
      <c r="AK31" s="51">
        <f t="shared" si="4"/>
        <v>-10377.971093020795</v>
      </c>
      <c r="AL31" s="51">
        <f t="shared" si="4"/>
        <v>-4046.836060797809</v>
      </c>
      <c r="AM31" s="78">
        <f t="shared" si="21"/>
        <v>-155863.63636363635</v>
      </c>
      <c r="AN31" s="78">
        <f t="shared" si="5"/>
        <v>-103431.81818181818</v>
      </c>
      <c r="AO31" s="78">
        <f t="shared" si="5"/>
        <v>-103431.81818181818</v>
      </c>
      <c r="AP31" s="78">
        <f t="shared" si="3"/>
        <v>-362727.2727272727</v>
      </c>
      <c r="AQ31" s="78">
        <f t="shared" si="6"/>
        <v>-373045.45454545453</v>
      </c>
      <c r="AR31" s="78"/>
    </row>
    <row r="32" spans="1:44" s="60" customFormat="1" ht="12.75">
      <c r="A32" s="89">
        <f>'[10]MONTH8'!$A26</f>
        <v>0</v>
      </c>
      <c r="B32" s="51">
        <f>'[10]MONTH8'!B26</f>
        <v>0</v>
      </c>
      <c r="C32" s="51">
        <f>'[10]MONTH8'!C26</f>
        <v>0</v>
      </c>
      <c r="D32" s="51">
        <f>'[10]MONTH8'!D26</f>
        <v>0</v>
      </c>
      <c r="E32" s="51">
        <f>'[10]MONTH8'!E26</f>
        <v>0</v>
      </c>
      <c r="F32" s="51">
        <f>'[10]MONTH8'!F26</f>
        <v>0</v>
      </c>
      <c r="G32" s="51">
        <f>'[10]MONTH8'!G26</f>
        <v>0</v>
      </c>
      <c r="H32" s="51">
        <f>'[10]MONTH8'!H26</f>
        <v>0</v>
      </c>
      <c r="I32" s="51">
        <f>'[10]MONTH8'!I26</f>
        <v>0</v>
      </c>
      <c r="J32" s="78">
        <f t="shared" si="7"/>
        <v>0</v>
      </c>
      <c r="K32" s="52">
        <f>'[10]MONTH8'!J26</f>
        <v>0</v>
      </c>
      <c r="L32" s="52">
        <f>'[10]MONTH8'!K26</f>
        <v>0</v>
      </c>
      <c r="M32" s="78">
        <f t="shared" si="8"/>
        <v>0</v>
      </c>
      <c r="N32" s="52">
        <f>'[10]MONTH8'!L26</f>
        <v>0</v>
      </c>
      <c r="O32" s="64" t="e">
        <f t="shared" si="9"/>
        <v>#DIV/0!</v>
      </c>
      <c r="P32" s="78">
        <f t="shared" si="22"/>
        <v>46277.733758148526</v>
      </c>
      <c r="Q32" s="78">
        <f t="shared" si="23"/>
        <v>6356.586831347501</v>
      </c>
      <c r="R32" s="78">
        <f t="shared" si="24"/>
        <v>16260.518165674213</v>
      </c>
      <c r="S32" s="78">
        <f t="shared" si="25"/>
        <v>43404.861931968946</v>
      </c>
      <c r="T32" s="78">
        <f t="shared" si="26"/>
        <v>26199.445723797136</v>
      </c>
      <c r="U32" s="78">
        <f t="shared" si="27"/>
        <v>2939.682798881427</v>
      </c>
      <c r="V32" s="78">
        <f t="shared" si="28"/>
        <v>10377.971093020795</v>
      </c>
      <c r="W32" s="78">
        <f t="shared" si="29"/>
        <v>4046.836060797809</v>
      </c>
      <c r="X32" s="78">
        <f t="shared" si="30"/>
        <v>155863.63636363635</v>
      </c>
      <c r="Y32" s="78">
        <f t="shared" si="31"/>
        <v>103431.81818181818</v>
      </c>
      <c r="Z32" s="78">
        <f t="shared" si="32"/>
        <v>103431.81818181818</v>
      </c>
      <c r="AA32" s="78">
        <f t="shared" si="33"/>
        <v>362727.2727272727</v>
      </c>
      <c r="AB32" s="78">
        <f>$AB$3/$X$5</f>
        <v>373045.45454545453</v>
      </c>
      <c r="AC32" s="76">
        <f>AA32/AB32</f>
        <v>0.9723406847812842</v>
      </c>
      <c r="AD32" s="77"/>
      <c r="AE32" s="78">
        <f t="shared" si="4"/>
        <v>-46277.733758148526</v>
      </c>
      <c r="AF32" s="51">
        <f t="shared" si="4"/>
        <v>-6356.586831347501</v>
      </c>
      <c r="AG32" s="51">
        <f t="shared" si="4"/>
        <v>-16260.518165674213</v>
      </c>
      <c r="AH32" s="51">
        <f t="shared" si="4"/>
        <v>-43404.861931968946</v>
      </c>
      <c r="AI32" s="51">
        <f t="shared" si="4"/>
        <v>-26199.445723797136</v>
      </c>
      <c r="AJ32" s="51">
        <f t="shared" si="4"/>
        <v>-2939.682798881427</v>
      </c>
      <c r="AK32" s="51">
        <f t="shared" si="4"/>
        <v>-10377.971093020795</v>
      </c>
      <c r="AL32" s="51">
        <f t="shared" si="4"/>
        <v>-4046.836060797809</v>
      </c>
      <c r="AM32" s="78">
        <f t="shared" si="21"/>
        <v>-155863.63636363635</v>
      </c>
      <c r="AN32" s="78">
        <f t="shared" si="5"/>
        <v>-103431.81818181818</v>
      </c>
      <c r="AO32" s="78">
        <f t="shared" si="5"/>
        <v>-103431.81818181818</v>
      </c>
      <c r="AP32" s="78">
        <f t="shared" si="3"/>
        <v>-362727.2727272727</v>
      </c>
      <c r="AQ32" s="78">
        <f t="shared" si="6"/>
        <v>-373045.45454545453</v>
      </c>
      <c r="AR32" s="78">
        <f>AP32/AQ32</f>
        <v>0.9723406847812842</v>
      </c>
    </row>
    <row r="33" spans="1:85" s="95" customFormat="1" ht="12.75">
      <c r="A33" s="89">
        <f>'[10]MONTH8'!$A27</f>
        <v>0</v>
      </c>
      <c r="B33" s="51">
        <f>'[10]MONTH8'!B27</f>
        <v>0</v>
      </c>
      <c r="C33" s="51">
        <f>'[10]MONTH8'!C27</f>
        <v>0</v>
      </c>
      <c r="D33" s="51">
        <f>'[10]MONTH8'!D27</f>
        <v>0</v>
      </c>
      <c r="E33" s="51">
        <f>'[10]MONTH8'!E27</f>
        <v>0</v>
      </c>
      <c r="F33" s="51">
        <f>'[10]MONTH8'!F27</f>
        <v>0</v>
      </c>
      <c r="G33" s="51">
        <f>'[10]MONTH8'!G27</f>
        <v>0</v>
      </c>
      <c r="H33" s="51">
        <f>'[10]MONTH8'!H27</f>
        <v>0</v>
      </c>
      <c r="I33" s="51">
        <f>'[10]MONTH8'!I27</f>
        <v>0</v>
      </c>
      <c r="J33" s="91">
        <f t="shared" si="7"/>
        <v>0</v>
      </c>
      <c r="K33" s="52">
        <f>'[10]MONTH8'!J27</f>
        <v>0</v>
      </c>
      <c r="L33" s="52">
        <f>'[10]MONTH8'!K27</f>
        <v>0</v>
      </c>
      <c r="M33" s="91">
        <f t="shared" si="8"/>
        <v>0</v>
      </c>
      <c r="N33" s="52">
        <f>'[10]MONTH8'!L27</f>
        <v>0</v>
      </c>
      <c r="O33" s="92" t="e">
        <f t="shared" si="9"/>
        <v>#DIV/0!</v>
      </c>
      <c r="P33" s="91">
        <f t="shared" si="22"/>
        <v>46277.733758148526</v>
      </c>
      <c r="Q33" s="91">
        <f t="shared" si="23"/>
        <v>6356.586831347501</v>
      </c>
      <c r="R33" s="91">
        <f t="shared" si="24"/>
        <v>16260.518165674213</v>
      </c>
      <c r="S33" s="91">
        <f t="shared" si="25"/>
        <v>43404.861931968946</v>
      </c>
      <c r="T33" s="91">
        <f t="shared" si="26"/>
        <v>26199.445723797136</v>
      </c>
      <c r="U33" s="91">
        <f t="shared" si="27"/>
        <v>2939.682798881427</v>
      </c>
      <c r="V33" s="91">
        <f t="shared" si="28"/>
        <v>10377.971093020795</v>
      </c>
      <c r="W33" s="91">
        <f t="shared" si="29"/>
        <v>4046.836060797809</v>
      </c>
      <c r="X33" s="91">
        <f t="shared" si="30"/>
        <v>155863.63636363635</v>
      </c>
      <c r="Y33" s="91">
        <f t="shared" si="31"/>
        <v>103431.81818181818</v>
      </c>
      <c r="Z33" s="91">
        <f t="shared" si="32"/>
        <v>103431.81818181818</v>
      </c>
      <c r="AA33" s="91">
        <f t="shared" si="33"/>
        <v>362727.2727272727</v>
      </c>
      <c r="AB33" s="91">
        <f>$AB$3/$X$5</f>
        <v>373045.45454545453</v>
      </c>
      <c r="AC33" s="93">
        <f>AA33/AB33</f>
        <v>0.9723406847812842</v>
      </c>
      <c r="AD33" s="94"/>
      <c r="AE33" s="91">
        <f t="shared" si="4"/>
        <v>-46277.733758148526</v>
      </c>
      <c r="AF33" s="90">
        <f t="shared" si="4"/>
        <v>-6356.586831347501</v>
      </c>
      <c r="AG33" s="90">
        <f t="shared" si="4"/>
        <v>-16260.518165674213</v>
      </c>
      <c r="AH33" s="90">
        <f t="shared" si="4"/>
        <v>-43404.861931968946</v>
      </c>
      <c r="AI33" s="90">
        <f t="shared" si="4"/>
        <v>-26199.445723797136</v>
      </c>
      <c r="AJ33" s="90">
        <f t="shared" si="4"/>
        <v>-2939.682798881427</v>
      </c>
      <c r="AK33" s="90">
        <f t="shared" si="4"/>
        <v>-10377.971093020795</v>
      </c>
      <c r="AL33" s="90">
        <f t="shared" si="4"/>
        <v>-4046.836060797809</v>
      </c>
      <c r="AM33" s="91">
        <f t="shared" si="21"/>
        <v>-155863.63636363635</v>
      </c>
      <c r="AN33" s="91">
        <f t="shared" si="5"/>
        <v>-103431.81818181818</v>
      </c>
      <c r="AO33" s="91">
        <f t="shared" si="5"/>
        <v>-103431.81818181818</v>
      </c>
      <c r="AP33" s="91">
        <f t="shared" si="3"/>
        <v>-362727.2727272727</v>
      </c>
      <c r="AQ33" s="91">
        <f t="shared" si="6"/>
        <v>-373045.45454545453</v>
      </c>
      <c r="AR33" s="91">
        <f>AP33/AQ33</f>
        <v>0.9723406847812842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s="95" customFormat="1" ht="12.75">
      <c r="A34" s="89">
        <f>'[10]MONTH8'!$A28</f>
        <v>0</v>
      </c>
      <c r="B34" s="51">
        <f>'[10]MONTH8'!B28</f>
        <v>0</v>
      </c>
      <c r="C34" s="51">
        <f>'[10]MONTH8'!C28</f>
        <v>0</v>
      </c>
      <c r="D34" s="51">
        <f>'[10]MONTH8'!D28</f>
        <v>0</v>
      </c>
      <c r="E34" s="51">
        <f>'[10]MONTH8'!E28</f>
        <v>0</v>
      </c>
      <c r="F34" s="51">
        <f>'[10]MONTH8'!F28</f>
        <v>0</v>
      </c>
      <c r="G34" s="51">
        <f>'[10]MONTH8'!G28</f>
        <v>0</v>
      </c>
      <c r="H34" s="51">
        <f>'[10]MONTH8'!H28</f>
        <v>0</v>
      </c>
      <c r="I34" s="51">
        <f>'[10]MONTH8'!I28</f>
        <v>0</v>
      </c>
      <c r="J34" s="91">
        <f t="shared" si="7"/>
        <v>0</v>
      </c>
      <c r="K34" s="52">
        <f>'[10]MONTH8'!J28</f>
        <v>0</v>
      </c>
      <c r="L34" s="52">
        <f>'[10]MONTH8'!K28</f>
        <v>0</v>
      </c>
      <c r="M34" s="91">
        <f t="shared" si="8"/>
        <v>0</v>
      </c>
      <c r="N34" s="52">
        <f>'[10]MONTH8'!L28</f>
        <v>0</v>
      </c>
      <c r="O34" s="92" t="e">
        <f t="shared" si="9"/>
        <v>#DIV/0!</v>
      </c>
      <c r="P34" s="91">
        <f t="shared" si="22"/>
        <v>46277.733758148526</v>
      </c>
      <c r="Q34" s="91">
        <f t="shared" si="23"/>
        <v>6356.586831347501</v>
      </c>
      <c r="R34" s="91">
        <f t="shared" si="24"/>
        <v>16260.518165674213</v>
      </c>
      <c r="S34" s="91">
        <f t="shared" si="25"/>
        <v>43404.861931968946</v>
      </c>
      <c r="T34" s="91">
        <f t="shared" si="26"/>
        <v>26199.445723797136</v>
      </c>
      <c r="U34" s="91">
        <f t="shared" si="27"/>
        <v>2939.682798881427</v>
      </c>
      <c r="V34" s="91">
        <f t="shared" si="28"/>
        <v>10377.971093020795</v>
      </c>
      <c r="W34" s="91">
        <f t="shared" si="29"/>
        <v>4046.836060797809</v>
      </c>
      <c r="X34" s="91">
        <f t="shared" si="30"/>
        <v>155863.63636363635</v>
      </c>
      <c r="Y34" s="91">
        <f t="shared" si="31"/>
        <v>103431.81818181818</v>
      </c>
      <c r="Z34" s="91">
        <f t="shared" si="32"/>
        <v>103431.81818181818</v>
      </c>
      <c r="AA34" s="91">
        <f t="shared" si="33"/>
        <v>362727.2727272727</v>
      </c>
      <c r="AB34" s="91">
        <f>$AB$3/$X$5</f>
        <v>373045.45454545453</v>
      </c>
      <c r="AC34" s="93">
        <f>AA34/AB34</f>
        <v>0.9723406847812842</v>
      </c>
      <c r="AD34" s="94"/>
      <c r="AE34" s="91">
        <f t="shared" si="4"/>
        <v>-46277.733758148526</v>
      </c>
      <c r="AF34" s="90">
        <f t="shared" si="4"/>
        <v>-6356.586831347501</v>
      </c>
      <c r="AG34" s="90">
        <f t="shared" si="4"/>
        <v>-16260.518165674213</v>
      </c>
      <c r="AH34" s="90">
        <f t="shared" si="4"/>
        <v>-43404.861931968946</v>
      </c>
      <c r="AI34" s="90">
        <f t="shared" si="4"/>
        <v>-26199.445723797136</v>
      </c>
      <c r="AJ34" s="90">
        <f t="shared" si="4"/>
        <v>-2939.682798881427</v>
      </c>
      <c r="AK34" s="90">
        <f t="shared" si="4"/>
        <v>-10377.971093020795</v>
      </c>
      <c r="AL34" s="90">
        <f t="shared" si="4"/>
        <v>-4046.836060797809</v>
      </c>
      <c r="AM34" s="91">
        <f t="shared" si="21"/>
        <v>-155863.63636363635</v>
      </c>
      <c r="AN34" s="91">
        <f t="shared" si="5"/>
        <v>-103431.81818181818</v>
      </c>
      <c r="AO34" s="91">
        <f t="shared" si="5"/>
        <v>-103431.81818181818</v>
      </c>
      <c r="AP34" s="91">
        <f t="shared" si="3"/>
        <v>-362727.2727272727</v>
      </c>
      <c r="AQ34" s="91">
        <f t="shared" si="6"/>
        <v>-373045.45454545453</v>
      </c>
      <c r="AR34" s="91">
        <f>AP34/AQ34</f>
        <v>0.9723406847812842</v>
      </c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44" s="60" customFormat="1" ht="12.75">
      <c r="A35" s="89">
        <f>'[10]MONTH8'!$A29</f>
        <v>0</v>
      </c>
      <c r="B35" s="51">
        <f>'[10]MONTH8'!B29</f>
        <v>0</v>
      </c>
      <c r="C35" s="51">
        <f>'[10]MONTH8'!C29</f>
        <v>0</v>
      </c>
      <c r="D35" s="51">
        <f>'[10]MONTH8'!D29</f>
        <v>0</v>
      </c>
      <c r="E35" s="51">
        <f>'[10]MONTH8'!E29</f>
        <v>0</v>
      </c>
      <c r="F35" s="51">
        <f>'[10]MONTH8'!F29</f>
        <v>0</v>
      </c>
      <c r="G35" s="51">
        <f>'[10]MONTH8'!G29</f>
        <v>0</v>
      </c>
      <c r="H35" s="51">
        <f>'[10]MONTH8'!H29</f>
        <v>0</v>
      </c>
      <c r="I35" s="51">
        <f>'[10]MONTH8'!I29</f>
        <v>0</v>
      </c>
      <c r="J35" s="78">
        <f t="shared" si="7"/>
        <v>0</v>
      </c>
      <c r="K35" s="52">
        <f>'[10]MONTH8'!J29</f>
        <v>0</v>
      </c>
      <c r="L35" s="52">
        <f>'[10]MONTH8'!K29</f>
        <v>0</v>
      </c>
      <c r="M35" s="78">
        <f t="shared" si="8"/>
        <v>0</v>
      </c>
      <c r="N35" s="52">
        <f>'[10]MONTH8'!L29</f>
        <v>0</v>
      </c>
      <c r="O35" s="64" t="e">
        <f t="shared" si="9"/>
        <v>#DIV/0!</v>
      </c>
      <c r="P35" s="78">
        <f t="shared" si="22"/>
        <v>46277.733758148526</v>
      </c>
      <c r="Q35" s="78">
        <f t="shared" si="23"/>
        <v>6356.586831347501</v>
      </c>
      <c r="R35" s="78">
        <f t="shared" si="24"/>
        <v>16260.518165674213</v>
      </c>
      <c r="S35" s="78">
        <f t="shared" si="25"/>
        <v>43404.861931968946</v>
      </c>
      <c r="T35" s="78">
        <f t="shared" si="26"/>
        <v>26199.445723797136</v>
      </c>
      <c r="U35" s="78">
        <f t="shared" si="27"/>
        <v>2939.682798881427</v>
      </c>
      <c r="V35" s="78">
        <f t="shared" si="28"/>
        <v>10377.971093020795</v>
      </c>
      <c r="W35" s="78">
        <f t="shared" si="29"/>
        <v>4046.836060797809</v>
      </c>
      <c r="X35" s="78">
        <f t="shared" si="30"/>
        <v>155863.63636363635</v>
      </c>
      <c r="Y35" s="78">
        <f t="shared" si="31"/>
        <v>103431.81818181818</v>
      </c>
      <c r="Z35" s="78">
        <f t="shared" si="32"/>
        <v>103431.81818181818</v>
      </c>
      <c r="AA35" s="78">
        <f t="shared" si="33"/>
        <v>362727.2727272727</v>
      </c>
      <c r="AB35" s="78">
        <f>$AB$3/$X$5</f>
        <v>373045.45454545453</v>
      </c>
      <c r="AC35" s="76">
        <f>AA35/AB35</f>
        <v>0.9723406847812842</v>
      </c>
      <c r="AD35" s="77"/>
      <c r="AE35" s="78">
        <f t="shared" si="4"/>
        <v>-46277.733758148526</v>
      </c>
      <c r="AF35" s="51">
        <f t="shared" si="4"/>
        <v>-6356.586831347501</v>
      </c>
      <c r="AG35" s="51">
        <f t="shared" si="4"/>
        <v>-16260.518165674213</v>
      </c>
      <c r="AH35" s="51">
        <f t="shared" si="4"/>
        <v>-43404.861931968946</v>
      </c>
      <c r="AI35" s="51">
        <f t="shared" si="4"/>
        <v>-26199.445723797136</v>
      </c>
      <c r="AJ35" s="51">
        <f t="shared" si="4"/>
        <v>-2939.682798881427</v>
      </c>
      <c r="AK35" s="51">
        <f t="shared" si="4"/>
        <v>-10377.971093020795</v>
      </c>
      <c r="AL35" s="51">
        <f t="shared" si="4"/>
        <v>-4046.836060797809</v>
      </c>
      <c r="AM35" s="78">
        <f t="shared" si="21"/>
        <v>-155863.63636363635</v>
      </c>
      <c r="AN35" s="78">
        <f t="shared" si="5"/>
        <v>-103431.81818181818</v>
      </c>
      <c r="AO35" s="78">
        <f t="shared" si="5"/>
        <v>-103431.81818181818</v>
      </c>
      <c r="AP35" s="78">
        <f t="shared" si="3"/>
        <v>-362727.2727272727</v>
      </c>
      <c r="AQ35" s="78">
        <f t="shared" si="6"/>
        <v>-373045.45454545453</v>
      </c>
      <c r="AR35" s="78">
        <f>AP35/AQ35</f>
        <v>0.9723406847812842</v>
      </c>
    </row>
    <row r="36" spans="1:44" s="60" customFormat="1" ht="12.75">
      <c r="A36" s="89">
        <f>'[10]MONTH8'!$A30</f>
        <v>0</v>
      </c>
      <c r="B36" s="51">
        <f>'[10]MONTH8'!B30</f>
        <v>0</v>
      </c>
      <c r="C36" s="51">
        <f>'[10]MONTH8'!C30</f>
        <v>0</v>
      </c>
      <c r="D36" s="51">
        <f>'[10]MONTH8'!D30</f>
        <v>0</v>
      </c>
      <c r="E36" s="51">
        <f>'[10]MONTH8'!E30</f>
        <v>0</v>
      </c>
      <c r="F36" s="51">
        <f>'[10]MONTH8'!F30</f>
        <v>0</v>
      </c>
      <c r="G36" s="51">
        <f>'[10]MONTH8'!G30</f>
        <v>0</v>
      </c>
      <c r="H36" s="51">
        <f>'[10]MONTH8'!H30</f>
        <v>0</v>
      </c>
      <c r="I36" s="51">
        <f>'[10]MONTH8'!I30</f>
        <v>0</v>
      </c>
      <c r="J36" s="78">
        <f t="shared" si="7"/>
        <v>0</v>
      </c>
      <c r="K36" s="52">
        <f>'[10]MONTH8'!J30</f>
        <v>0</v>
      </c>
      <c r="L36" s="52">
        <f>'[10]MONTH8'!K30</f>
        <v>0</v>
      </c>
      <c r="M36" s="78">
        <f t="shared" si="8"/>
        <v>0</v>
      </c>
      <c r="N36" s="52">
        <f>'[10]MONTH8'!L30</f>
        <v>0</v>
      </c>
      <c r="O36" s="64" t="e">
        <f t="shared" si="9"/>
        <v>#DIV/0!</v>
      </c>
      <c r="P36" s="78">
        <f t="shared" si="22"/>
        <v>46277.733758148526</v>
      </c>
      <c r="Q36" s="78">
        <f t="shared" si="23"/>
        <v>6356.586831347501</v>
      </c>
      <c r="R36" s="78">
        <f t="shared" si="24"/>
        <v>16260.518165674213</v>
      </c>
      <c r="S36" s="78">
        <f t="shared" si="25"/>
        <v>43404.861931968946</v>
      </c>
      <c r="T36" s="78">
        <f t="shared" si="26"/>
        <v>26199.445723797136</v>
      </c>
      <c r="U36" s="78">
        <f t="shared" si="27"/>
        <v>2939.682798881427</v>
      </c>
      <c r="V36" s="78">
        <f t="shared" si="28"/>
        <v>10377.971093020795</v>
      </c>
      <c r="W36" s="78">
        <f t="shared" si="29"/>
        <v>4046.836060797809</v>
      </c>
      <c r="X36" s="78">
        <f t="shared" si="30"/>
        <v>155863.63636363635</v>
      </c>
      <c r="Y36" s="78">
        <f t="shared" si="31"/>
        <v>103431.81818181818</v>
      </c>
      <c r="Z36" s="78">
        <f t="shared" si="32"/>
        <v>103431.81818181818</v>
      </c>
      <c r="AA36" s="78">
        <f t="shared" si="33"/>
        <v>362727.2727272727</v>
      </c>
      <c r="AB36" s="78"/>
      <c r="AC36" s="76"/>
      <c r="AD36" s="77"/>
      <c r="AE36" s="78">
        <f t="shared" si="4"/>
        <v>-46277.733758148526</v>
      </c>
      <c r="AF36" s="51">
        <f t="shared" si="4"/>
        <v>-6356.586831347501</v>
      </c>
      <c r="AG36" s="51">
        <f t="shared" si="4"/>
        <v>-16260.518165674213</v>
      </c>
      <c r="AH36" s="51">
        <f t="shared" si="4"/>
        <v>-43404.861931968946</v>
      </c>
      <c r="AI36" s="51">
        <f t="shared" si="4"/>
        <v>-26199.445723797136</v>
      </c>
      <c r="AJ36" s="51">
        <f t="shared" si="4"/>
        <v>-2939.682798881427</v>
      </c>
      <c r="AK36" s="51">
        <f t="shared" si="4"/>
        <v>-10377.971093020795</v>
      </c>
      <c r="AL36" s="51">
        <f t="shared" si="4"/>
        <v>-4046.836060797809</v>
      </c>
      <c r="AM36" s="78">
        <f t="shared" si="21"/>
        <v>-155863.63636363635</v>
      </c>
      <c r="AN36" s="78">
        <f t="shared" si="5"/>
        <v>-103431.81818181818</v>
      </c>
      <c r="AO36" s="78">
        <f t="shared" si="5"/>
        <v>-103431.81818181818</v>
      </c>
      <c r="AP36" s="78">
        <f t="shared" si="3"/>
        <v>-362727.2727272727</v>
      </c>
      <c r="AQ36" s="78">
        <f t="shared" si="6"/>
        <v>0</v>
      </c>
      <c r="AR36" s="78" t="e">
        <f>AP36/AQ36</f>
        <v>#DIV/0!</v>
      </c>
    </row>
    <row r="37" spans="1:44" s="60" customFormat="1" ht="12.75">
      <c r="A37" s="89">
        <f>'[10]MONTH8'!$A31</f>
        <v>0</v>
      </c>
      <c r="B37" s="51">
        <f>'[10]MONTH8'!B31</f>
        <v>0</v>
      </c>
      <c r="C37" s="51">
        <f>'[10]MONTH8'!C31</f>
        <v>0</v>
      </c>
      <c r="D37" s="51">
        <f>'[10]MONTH8'!D31</f>
        <v>0</v>
      </c>
      <c r="E37" s="51">
        <f>'[10]MONTH8'!E31</f>
        <v>0</v>
      </c>
      <c r="F37" s="51">
        <f>'[10]MONTH8'!F31</f>
        <v>0</v>
      </c>
      <c r="G37" s="51">
        <f>'[10]MONTH8'!G31</f>
        <v>0</v>
      </c>
      <c r="H37" s="51">
        <f>'[10]MONTH8'!H31</f>
        <v>0</v>
      </c>
      <c r="I37" s="51">
        <f>'[10]MONTH8'!I31</f>
        <v>0</v>
      </c>
      <c r="J37" s="78">
        <f t="shared" si="7"/>
        <v>0</v>
      </c>
      <c r="K37" s="52">
        <f>'[10]MONTH8'!J31</f>
        <v>0</v>
      </c>
      <c r="L37" s="52">
        <f>'[10]MONTH8'!K31</f>
        <v>0</v>
      </c>
      <c r="M37" s="78">
        <f t="shared" si="8"/>
        <v>0</v>
      </c>
      <c r="N37" s="52">
        <f>'[10]MONTH8'!L31</f>
        <v>0</v>
      </c>
      <c r="O37" s="64" t="e">
        <f t="shared" si="9"/>
        <v>#DIV/0!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76"/>
      <c r="AD37" s="77"/>
      <c r="AE37" s="78">
        <f t="shared" si="4"/>
        <v>0</v>
      </c>
      <c r="AF37" s="51">
        <f t="shared" si="4"/>
        <v>0</v>
      </c>
      <c r="AG37" s="51">
        <f t="shared" si="4"/>
        <v>0</v>
      </c>
      <c r="AH37" s="51">
        <f t="shared" si="4"/>
        <v>0</v>
      </c>
      <c r="AI37" s="51">
        <f t="shared" si="4"/>
        <v>0</v>
      </c>
      <c r="AJ37" s="51">
        <f t="shared" si="4"/>
        <v>0</v>
      </c>
      <c r="AK37" s="51">
        <f t="shared" si="4"/>
        <v>0</v>
      </c>
      <c r="AL37" s="51">
        <f t="shared" si="4"/>
        <v>0</v>
      </c>
      <c r="AM37" s="78">
        <f t="shared" si="21"/>
        <v>0</v>
      </c>
      <c r="AN37" s="78">
        <f t="shared" si="5"/>
        <v>0</v>
      </c>
      <c r="AO37" s="78">
        <f t="shared" si="5"/>
        <v>0</v>
      </c>
      <c r="AP37" s="78">
        <f t="shared" si="3"/>
        <v>0</v>
      </c>
      <c r="AQ37" s="78">
        <f t="shared" si="6"/>
        <v>0</v>
      </c>
      <c r="AR37" s="78"/>
    </row>
    <row r="38" spans="1:44" s="60" customFormat="1" ht="12.75">
      <c r="A38" s="89">
        <f>'[10]MONTH8'!$A32</f>
        <v>0</v>
      </c>
      <c r="B38" s="51">
        <f>'[10]MONTH8'!B32</f>
        <v>0</v>
      </c>
      <c r="C38" s="51">
        <f>'[10]MONTH8'!C32</f>
        <v>0</v>
      </c>
      <c r="D38" s="51">
        <f>'[10]MONTH8'!D32</f>
        <v>0</v>
      </c>
      <c r="E38" s="51">
        <f>'[10]MONTH8'!E32</f>
        <v>0</v>
      </c>
      <c r="F38" s="51">
        <f>'[10]MONTH8'!F32</f>
        <v>0</v>
      </c>
      <c r="G38" s="51">
        <f>'[10]MONTH8'!G32</f>
        <v>0</v>
      </c>
      <c r="H38" s="51">
        <f>'[10]MONTH8'!H32</f>
        <v>0</v>
      </c>
      <c r="I38" s="51">
        <f>'[10]MONTH8'!I32</f>
        <v>0</v>
      </c>
      <c r="J38" s="78">
        <f t="shared" si="7"/>
        <v>0</v>
      </c>
      <c r="K38" s="52">
        <f>'[10]MONTH8'!J32</f>
        <v>0</v>
      </c>
      <c r="L38" s="52">
        <f>'[10]MONTH8'!K32</f>
        <v>0</v>
      </c>
      <c r="M38" s="78">
        <f t="shared" si="8"/>
        <v>0</v>
      </c>
      <c r="N38" s="52">
        <f>'[10]MONTH8'!L32</f>
        <v>0</v>
      </c>
      <c r="O38" s="64" t="e">
        <f t="shared" si="9"/>
        <v>#DIV/0!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6"/>
      <c r="AD38" s="77"/>
      <c r="AE38" s="78">
        <f t="shared" si="4"/>
        <v>0</v>
      </c>
      <c r="AF38" s="51">
        <f t="shared" si="4"/>
        <v>0</v>
      </c>
      <c r="AG38" s="51">
        <f t="shared" si="4"/>
        <v>0</v>
      </c>
      <c r="AH38" s="51">
        <f t="shared" si="4"/>
        <v>0</v>
      </c>
      <c r="AI38" s="51">
        <f t="shared" si="4"/>
        <v>0</v>
      </c>
      <c r="AJ38" s="51">
        <f t="shared" si="4"/>
        <v>0</v>
      </c>
      <c r="AK38" s="51">
        <f t="shared" si="4"/>
        <v>0</v>
      </c>
      <c r="AL38" s="51">
        <f t="shared" si="4"/>
        <v>0</v>
      </c>
      <c r="AM38" s="78">
        <f t="shared" si="21"/>
        <v>0</v>
      </c>
      <c r="AN38" s="78">
        <f t="shared" si="5"/>
        <v>0</v>
      </c>
      <c r="AO38" s="78">
        <f t="shared" si="5"/>
        <v>0</v>
      </c>
      <c r="AP38" s="78">
        <f t="shared" si="3"/>
        <v>0</v>
      </c>
      <c r="AQ38" s="78">
        <f t="shared" si="6"/>
        <v>0</v>
      </c>
      <c r="AR38" s="78"/>
    </row>
    <row r="39" spans="1:44" s="60" customFormat="1" ht="12.75">
      <c r="A39" s="89">
        <f>'[10]MONTH8'!$A33</f>
        <v>0</v>
      </c>
      <c r="B39" s="51">
        <f>'[10]MONTH8'!B33</f>
        <v>0</v>
      </c>
      <c r="C39" s="51">
        <f>'[10]MONTH8'!C33</f>
        <v>0</v>
      </c>
      <c r="D39" s="51">
        <f>'[10]MONTH8'!D33</f>
        <v>0</v>
      </c>
      <c r="E39" s="51">
        <f>'[10]MONTH8'!E33</f>
        <v>0</v>
      </c>
      <c r="F39" s="51">
        <f>'[10]MONTH8'!F33</f>
        <v>0</v>
      </c>
      <c r="G39" s="51">
        <f>'[10]MONTH8'!G33</f>
        <v>0</v>
      </c>
      <c r="H39" s="51">
        <f>'[10]MONTH8'!H33</f>
        <v>0</v>
      </c>
      <c r="I39" s="51">
        <f>'[10]MONTH8'!I33</f>
        <v>0</v>
      </c>
      <c r="J39" s="78">
        <f t="shared" si="7"/>
        <v>0</v>
      </c>
      <c r="K39" s="52">
        <f>'[10]MONTH8'!J33</f>
        <v>0</v>
      </c>
      <c r="L39" s="52">
        <f>'[10]MONTH8'!K33</f>
        <v>0</v>
      </c>
      <c r="M39" s="78">
        <f t="shared" si="8"/>
        <v>0</v>
      </c>
      <c r="N39" s="52">
        <f>'[10]MONTH8'!L33</f>
        <v>0</v>
      </c>
      <c r="O39" s="64" t="e">
        <f t="shared" si="9"/>
        <v>#DIV/0!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6"/>
      <c r="AD39" s="77"/>
      <c r="AE39" s="78">
        <f t="shared" si="4"/>
        <v>0</v>
      </c>
      <c r="AF39" s="78">
        <f t="shared" si="4"/>
        <v>0</v>
      </c>
      <c r="AG39" s="78">
        <f t="shared" si="4"/>
        <v>0</v>
      </c>
      <c r="AH39" s="78">
        <f t="shared" si="4"/>
        <v>0</v>
      </c>
      <c r="AI39" s="78">
        <f t="shared" si="4"/>
        <v>0</v>
      </c>
      <c r="AJ39" s="78">
        <f t="shared" si="4"/>
        <v>0</v>
      </c>
      <c r="AK39" s="78">
        <f t="shared" si="4"/>
        <v>0</v>
      </c>
      <c r="AL39" s="78">
        <f t="shared" si="4"/>
        <v>0</v>
      </c>
      <c r="AM39" s="78">
        <f>SUM(AE39:AL39)</f>
        <v>0</v>
      </c>
      <c r="AN39" s="78">
        <f>K37-Y37</f>
        <v>0</v>
      </c>
      <c r="AO39" s="78">
        <f>L39-Z39</f>
        <v>0</v>
      </c>
      <c r="AP39" s="78">
        <f>SUM(AM39:AO39)</f>
        <v>0</v>
      </c>
      <c r="AQ39" s="100">
        <f t="shared" si="6"/>
        <v>0</v>
      </c>
      <c r="AR39" s="78" t="e">
        <f>AP39/AQ39</f>
        <v>#DIV/0!</v>
      </c>
    </row>
    <row r="40" spans="1:130" s="79" customFormat="1" ht="12.75">
      <c r="A40" s="89">
        <f>'[10]MONTH8'!$A34</f>
        <v>0</v>
      </c>
      <c r="B40" s="51">
        <f>'[10]MONTH8'!B34</f>
        <v>0</v>
      </c>
      <c r="C40" s="51">
        <f>'[10]MONTH8'!C34</f>
        <v>0</v>
      </c>
      <c r="D40" s="51">
        <f>'[10]MONTH8'!D34</f>
        <v>0</v>
      </c>
      <c r="E40" s="51">
        <f>'[10]MONTH8'!E34</f>
        <v>0</v>
      </c>
      <c r="F40" s="51">
        <f>'[10]MONTH8'!F34</f>
        <v>0</v>
      </c>
      <c r="G40" s="51">
        <f>'[10]MONTH8'!G34</f>
        <v>0</v>
      </c>
      <c r="H40" s="51">
        <f>'[10]MONTH8'!H34</f>
        <v>0</v>
      </c>
      <c r="I40" s="51">
        <f>'[10]MONTH8'!I34</f>
        <v>0</v>
      </c>
      <c r="J40" s="80"/>
      <c r="K40" s="52">
        <f>'[10]MONTH8'!J34</f>
        <v>0</v>
      </c>
      <c r="L40" s="52">
        <f>'[10]MONTH8'!K34</f>
        <v>0</v>
      </c>
      <c r="M40" s="80"/>
      <c r="N40" s="52">
        <f>'[10]MONTH8'!L34</f>
        <v>0</v>
      </c>
      <c r="O40" s="6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2"/>
      <c r="AD40" s="61"/>
      <c r="AE40" s="61"/>
      <c r="AF40" s="61"/>
      <c r="AG40" s="61"/>
      <c r="AH40" s="61"/>
      <c r="AI40" s="62"/>
      <c r="AJ40" s="62"/>
      <c r="AK40" s="62"/>
      <c r="AL40" s="62"/>
      <c r="AM40" s="65"/>
      <c r="AN40" s="65"/>
      <c r="AO40" s="65"/>
      <c r="AP40" s="65"/>
      <c r="AQ40" s="65"/>
      <c r="AR40" s="65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</row>
    <row r="41" spans="1:130" s="79" customFormat="1" ht="12.75">
      <c r="A41" s="81"/>
      <c r="B41" s="88"/>
      <c r="C41" s="88"/>
      <c r="D41" s="88"/>
      <c r="E41" s="87"/>
      <c r="F41" s="87"/>
      <c r="G41" s="55"/>
      <c r="H41" s="55"/>
      <c r="I41" s="55"/>
      <c r="J41" s="55"/>
      <c r="K41" s="55"/>
      <c r="L41" s="55"/>
      <c r="M41" s="55"/>
      <c r="N41" s="55"/>
      <c r="O41" s="5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73"/>
      <c r="AD41" s="56"/>
      <c r="AE41" s="56"/>
      <c r="AF41" s="56"/>
      <c r="AG41" s="56"/>
      <c r="AH41" s="56"/>
      <c r="AI41" s="61"/>
      <c r="AJ41" s="61"/>
      <c r="AK41" s="61"/>
      <c r="AM41" s="97"/>
      <c r="AN41" s="97"/>
      <c r="AO41" s="97"/>
      <c r="AP41" s="97"/>
      <c r="AQ41" s="97"/>
      <c r="AR41" s="9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</row>
    <row r="42" spans="1:130" s="79" customFormat="1" ht="12.75">
      <c r="A42" s="81"/>
      <c r="B42" s="88"/>
      <c r="C42" s="88"/>
      <c r="D42" s="88"/>
      <c r="E42" s="87"/>
      <c r="F42" s="87"/>
      <c r="G42" s="55"/>
      <c r="H42" s="55"/>
      <c r="I42" s="55"/>
      <c r="J42" s="55"/>
      <c r="K42" s="55"/>
      <c r="L42" s="55"/>
      <c r="M42" s="55"/>
      <c r="N42" s="55"/>
      <c r="O42" s="5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73"/>
      <c r="AD42" s="61"/>
      <c r="AE42" s="61"/>
      <c r="AF42" s="61"/>
      <c r="AG42" s="61"/>
      <c r="AH42" s="61"/>
      <c r="AI42" s="61"/>
      <c r="AJ42" s="61"/>
      <c r="AK42" s="61"/>
      <c r="AM42" s="97"/>
      <c r="AN42" s="97"/>
      <c r="AO42" s="97"/>
      <c r="AP42" s="97"/>
      <c r="AQ42" s="97"/>
      <c r="AR42" s="9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</row>
    <row r="43" spans="1:130" s="79" customFormat="1" ht="13.5" thickBot="1">
      <c r="A43" s="49" t="s">
        <v>3</v>
      </c>
      <c r="B43" s="181">
        <f>SUM(B8:B42)</f>
        <v>0</v>
      </c>
      <c r="C43" s="181">
        <f aca="true" t="shared" si="34" ref="C43:I43">SUM(C8:C42)</f>
        <v>0</v>
      </c>
      <c r="D43" s="181">
        <f t="shared" si="34"/>
        <v>0</v>
      </c>
      <c r="E43" s="181">
        <f t="shared" si="34"/>
        <v>0</v>
      </c>
      <c r="F43" s="181">
        <f t="shared" si="34"/>
        <v>0</v>
      </c>
      <c r="G43" s="181">
        <f t="shared" si="34"/>
        <v>0</v>
      </c>
      <c r="H43" s="181">
        <f t="shared" si="34"/>
        <v>0</v>
      </c>
      <c r="I43" s="181">
        <f t="shared" si="34"/>
        <v>0</v>
      </c>
      <c r="J43" s="181">
        <f>SUM(J8:J42)</f>
        <v>0</v>
      </c>
      <c r="K43" s="181">
        <f>SUM(K8:K42)</f>
        <v>0</v>
      </c>
      <c r="L43" s="181">
        <f>SUM(L8:L42)</f>
        <v>0</v>
      </c>
      <c r="M43" s="181">
        <f>SUM(M8:M42)</f>
        <v>0</v>
      </c>
      <c r="N43" s="182">
        <f>SUM(N8:N42)</f>
        <v>0</v>
      </c>
      <c r="O43" s="64" t="e">
        <f>M43/N43</f>
        <v>#DIV/0!</v>
      </c>
      <c r="P43" s="180">
        <f>SUM(P9:P42)</f>
        <v>925554.6751629702</v>
      </c>
      <c r="Q43" s="180">
        <f aca="true" t="shared" si="35" ref="Q43:W43">SUM(Q9:Q42)</f>
        <v>127131.73662695008</v>
      </c>
      <c r="R43" s="180">
        <f t="shared" si="35"/>
        <v>325210.36331348424</v>
      </c>
      <c r="S43" s="180">
        <f t="shared" si="35"/>
        <v>868097.2386393789</v>
      </c>
      <c r="T43" s="180">
        <f t="shared" si="35"/>
        <v>523988.9144759427</v>
      </c>
      <c r="U43" s="180">
        <f t="shared" si="35"/>
        <v>58793.65597762852</v>
      </c>
      <c r="V43" s="180">
        <f t="shared" si="35"/>
        <v>207559.421860416</v>
      </c>
      <c r="W43" s="180">
        <f t="shared" si="35"/>
        <v>80936.72121595619</v>
      </c>
      <c r="X43" s="180">
        <f>SUM(X8:X42)</f>
        <v>3117272.7272727257</v>
      </c>
      <c r="Y43" s="180">
        <f>SUM(Y9:Y42)</f>
        <v>2068636.3636363628</v>
      </c>
      <c r="Z43" s="180">
        <f>SUM(Z9:Z42)</f>
        <v>2068636.3636363628</v>
      </c>
      <c r="AA43" s="180">
        <f>SUM(AA9:AA42)</f>
        <v>7254545.454545451</v>
      </c>
      <c r="AB43" s="180">
        <f>SUM(AB9:AB42)</f>
        <v>7087863.636363633</v>
      </c>
      <c r="AC43" s="163">
        <f>AA43/AB43</f>
        <v>1.0235165102960888</v>
      </c>
      <c r="AD43" s="179"/>
      <c r="AE43" s="180">
        <f>SUM(AE8:AE42)</f>
        <v>-925554.6751629702</v>
      </c>
      <c r="AF43" s="180">
        <f aca="true" t="shared" si="36" ref="AF43:AQ43">SUM(AF8:AF42)</f>
        <v>-127131.73662695008</v>
      </c>
      <c r="AG43" s="180">
        <f t="shared" si="36"/>
        <v>-325210.36331348424</v>
      </c>
      <c r="AH43" s="180">
        <f t="shared" si="36"/>
        <v>-868097.2386393789</v>
      </c>
      <c r="AI43" s="180">
        <f t="shared" si="36"/>
        <v>-523988.9144759427</v>
      </c>
      <c r="AJ43" s="180">
        <f t="shared" si="36"/>
        <v>-58793.65597762852</v>
      </c>
      <c r="AK43" s="180">
        <f t="shared" si="36"/>
        <v>-207559.421860416</v>
      </c>
      <c r="AL43" s="180">
        <f t="shared" si="36"/>
        <v>-80936.72121595619</v>
      </c>
      <c r="AM43" s="180">
        <f>SUM(AM8:AM42)</f>
        <v>-3117272.7272727257</v>
      </c>
      <c r="AN43" s="180">
        <f t="shared" si="36"/>
        <v>-2068636.3636363628</v>
      </c>
      <c r="AO43" s="180">
        <f t="shared" si="36"/>
        <v>-2068636.3636363628</v>
      </c>
      <c r="AP43" s="180">
        <f t="shared" si="36"/>
        <v>-7254545.454545451</v>
      </c>
      <c r="AQ43" s="180">
        <f t="shared" si="36"/>
        <v>-7087863.636363633</v>
      </c>
      <c r="AR43" s="180">
        <f>AP43/AQ43</f>
        <v>1.0235165102960888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</row>
    <row r="44" spans="1:130" s="79" customFormat="1" ht="13.5" thickTop="1">
      <c r="A44" s="49" t="s">
        <v>4</v>
      </c>
      <c r="B44" s="174">
        <f>SUM(P8:P37)</f>
        <v>925554.6751629702</v>
      </c>
      <c r="C44" s="174">
        <f aca="true" t="shared" si="37" ref="C44:J44">SUM(Q8:Q37)</f>
        <v>127131.73662695008</v>
      </c>
      <c r="D44" s="174">
        <f t="shared" si="37"/>
        <v>325210.36331348424</v>
      </c>
      <c r="E44" s="174">
        <f t="shared" si="37"/>
        <v>868097.2386393789</v>
      </c>
      <c r="F44" s="174">
        <f t="shared" si="37"/>
        <v>523988.9144759427</v>
      </c>
      <c r="G44" s="174">
        <f t="shared" si="37"/>
        <v>58793.65597762852</v>
      </c>
      <c r="H44" s="174">
        <f t="shared" si="37"/>
        <v>207559.421860416</v>
      </c>
      <c r="I44" s="174">
        <f t="shared" si="37"/>
        <v>80936.72121595619</v>
      </c>
      <c r="J44" s="174">
        <f t="shared" si="37"/>
        <v>3117272.7272727257</v>
      </c>
      <c r="K44" s="174">
        <f>SUM(Y8:Y37)</f>
        <v>2068636.3636363628</v>
      </c>
      <c r="L44" s="174">
        <f>SUM(Z8:Z37)</f>
        <v>2068636.3636363628</v>
      </c>
      <c r="M44" s="174">
        <f>SUM(AA8:AA37)</f>
        <v>7254545.454545451</v>
      </c>
      <c r="N44" s="176">
        <f>SUM(AB8:AB37)</f>
        <v>7087863.636363633</v>
      </c>
      <c r="O44" s="175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7"/>
      <c r="AD44" s="175"/>
      <c r="AE44" s="175">
        <f>P43-B43</f>
        <v>925554.6751629702</v>
      </c>
      <c r="AF44" s="175">
        <f aca="true" t="shared" si="38" ref="AF44:AQ44">Q43-C43</f>
        <v>127131.73662695008</v>
      </c>
      <c r="AG44" s="175">
        <f t="shared" si="38"/>
        <v>325210.36331348424</v>
      </c>
      <c r="AH44" s="175">
        <f t="shared" si="38"/>
        <v>868097.2386393789</v>
      </c>
      <c r="AI44" s="175">
        <f t="shared" si="38"/>
        <v>523988.9144759427</v>
      </c>
      <c r="AJ44" s="175">
        <f t="shared" si="38"/>
        <v>58793.65597762852</v>
      </c>
      <c r="AK44" s="175">
        <f t="shared" si="38"/>
        <v>207559.421860416</v>
      </c>
      <c r="AL44" s="175">
        <f t="shared" si="38"/>
        <v>80936.72121595619</v>
      </c>
      <c r="AM44" s="175">
        <f t="shared" si="38"/>
        <v>3117272.7272727257</v>
      </c>
      <c r="AN44" s="175">
        <f t="shared" si="38"/>
        <v>2068636.3636363628</v>
      </c>
      <c r="AO44" s="175">
        <f t="shared" si="38"/>
        <v>2068636.3636363628</v>
      </c>
      <c r="AP44" s="175">
        <f t="shared" si="38"/>
        <v>7254545.454545451</v>
      </c>
      <c r="AQ44" s="175">
        <f t="shared" si="38"/>
        <v>7087863.636363633</v>
      </c>
      <c r="AR44" s="178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</row>
    <row r="45" spans="1:130" s="79" customFormat="1" ht="13.5" thickBot="1">
      <c r="A45" s="49" t="s">
        <v>5</v>
      </c>
      <c r="B45" s="183">
        <f>B43-B44</f>
        <v>-925554.6751629702</v>
      </c>
      <c r="C45" s="183">
        <f aca="true" t="shared" si="39" ref="C45:N45">C43-C44</f>
        <v>-127131.73662695008</v>
      </c>
      <c r="D45" s="183">
        <f t="shared" si="39"/>
        <v>-325210.36331348424</v>
      </c>
      <c r="E45" s="183">
        <f t="shared" si="39"/>
        <v>-868097.2386393789</v>
      </c>
      <c r="F45" s="183">
        <f t="shared" si="39"/>
        <v>-523988.9144759427</v>
      </c>
      <c r="G45" s="183">
        <f t="shared" si="39"/>
        <v>-58793.65597762852</v>
      </c>
      <c r="H45" s="183">
        <f t="shared" si="39"/>
        <v>-207559.421860416</v>
      </c>
      <c r="I45" s="183">
        <f t="shared" si="39"/>
        <v>-80936.72121595619</v>
      </c>
      <c r="J45" s="183">
        <f t="shared" si="39"/>
        <v>-3117272.7272727257</v>
      </c>
      <c r="K45" s="183">
        <f t="shared" si="39"/>
        <v>-2068636.3636363628</v>
      </c>
      <c r="L45" s="183">
        <f t="shared" si="39"/>
        <v>-2068636.3636363628</v>
      </c>
      <c r="M45" s="183">
        <f t="shared" si="39"/>
        <v>-7254545.454545451</v>
      </c>
      <c r="N45" s="184">
        <f t="shared" si="39"/>
        <v>-7087863.636363633</v>
      </c>
      <c r="O45" s="82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74"/>
      <c r="AD45" s="82"/>
      <c r="AE45" s="82">
        <f>AE44+AE43</f>
        <v>0</v>
      </c>
      <c r="AF45" s="82">
        <f aca="true" t="shared" si="40" ref="AF45:AQ45">AF44+AF43</f>
        <v>0</v>
      </c>
      <c r="AG45" s="82">
        <f t="shared" si="40"/>
        <v>0</v>
      </c>
      <c r="AH45" s="82">
        <f t="shared" si="40"/>
        <v>0</v>
      </c>
      <c r="AI45" s="82">
        <f t="shared" si="40"/>
        <v>0</v>
      </c>
      <c r="AJ45" s="82">
        <f t="shared" si="40"/>
        <v>0</v>
      </c>
      <c r="AK45" s="82">
        <f t="shared" si="40"/>
        <v>0</v>
      </c>
      <c r="AL45" s="82">
        <f t="shared" si="40"/>
        <v>0</v>
      </c>
      <c r="AM45" s="82">
        <f t="shared" si="40"/>
        <v>0</v>
      </c>
      <c r="AN45" s="82">
        <f t="shared" si="40"/>
        <v>0</v>
      </c>
      <c r="AO45" s="82">
        <f t="shared" si="40"/>
        <v>0</v>
      </c>
      <c r="AP45" s="82">
        <f t="shared" si="40"/>
        <v>0</v>
      </c>
      <c r="AQ45" s="82">
        <f t="shared" si="40"/>
        <v>0</v>
      </c>
      <c r="AR45" s="98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</row>
    <row r="46" spans="1:63" ht="13.5" thickTop="1">
      <c r="A46" s="6"/>
      <c r="B46" s="7"/>
      <c r="C46" s="7"/>
      <c r="D46" s="7"/>
      <c r="E46" s="7"/>
      <c r="F46" s="7"/>
      <c r="G46" s="3"/>
      <c r="H46" s="3"/>
      <c r="I46" s="3"/>
      <c r="J46" s="42"/>
      <c r="K46" s="42"/>
      <c r="L46" s="42"/>
      <c r="M46" s="42"/>
      <c r="N46" s="42"/>
      <c r="O46" s="42"/>
      <c r="P46" s="7"/>
      <c r="Q46" s="42"/>
      <c r="R46" s="42"/>
      <c r="S46" s="42"/>
      <c r="T46" s="42"/>
      <c r="U46" s="8"/>
      <c r="V46" s="41"/>
      <c r="W46" s="41"/>
      <c r="X46" s="66">
        <f>X43-X3</f>
        <v>-311727.27272727434</v>
      </c>
      <c r="Y46" s="66"/>
      <c r="Z46" s="66"/>
      <c r="AA46" s="66"/>
      <c r="AB46" s="66"/>
      <c r="AC46" s="75"/>
      <c r="AD46" s="41"/>
      <c r="AE46" s="41"/>
      <c r="AF46" s="41"/>
      <c r="AG46" s="41"/>
      <c r="AH46" s="41"/>
      <c r="AI46" s="41"/>
      <c r="AJ46" s="41"/>
      <c r="AK46" s="41"/>
      <c r="AL46" s="8"/>
      <c r="AM46" s="66"/>
      <c r="AN46" s="66"/>
      <c r="AO46" s="66"/>
      <c r="AP46" s="66"/>
      <c r="AQ46" s="66"/>
      <c r="AR46" s="6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3:63" ht="12.75">
      <c r="C47" s="16"/>
      <c r="K47" s="8"/>
      <c r="L47" s="8"/>
      <c r="N47" s="8"/>
      <c r="O47" s="8"/>
      <c r="Q47" s="8"/>
      <c r="R47" s="8"/>
      <c r="S47" s="8"/>
      <c r="T47" s="8"/>
      <c r="U47" s="8"/>
      <c r="V47" s="41"/>
      <c r="W47" s="41"/>
      <c r="Y47" s="8">
        <f>X3/20</f>
        <v>171450</v>
      </c>
      <c r="AD47" s="41"/>
      <c r="AE47" s="41"/>
      <c r="AF47" s="41"/>
      <c r="AG47" s="41"/>
      <c r="AH47" s="41"/>
      <c r="AI47" s="41"/>
      <c r="AJ47" s="41"/>
      <c r="AK47" s="41"/>
      <c r="AL47" s="8"/>
      <c r="AM47" s="99"/>
      <c r="AN47" s="99"/>
      <c r="AO47" s="99"/>
      <c r="AP47" s="99"/>
      <c r="AQ47" s="99"/>
      <c r="AR47" s="9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16" ht="12.75">
      <c r="A48" s="43" t="s">
        <v>61</v>
      </c>
      <c r="B48" s="101">
        <f>M43</f>
        <v>0</v>
      </c>
      <c r="C48" s="16"/>
      <c r="K48" s="8"/>
      <c r="L48" s="8"/>
      <c r="N48" s="8"/>
      <c r="O48" s="8"/>
      <c r="P48" s="16">
        <f>SUM(P43:W43)</f>
        <v>3117272.727272727</v>
      </c>
    </row>
    <row r="49" spans="1:15" ht="12.75">
      <c r="A49" s="43" t="s">
        <v>64</v>
      </c>
      <c r="B49" s="101">
        <f>N43</f>
        <v>0</v>
      </c>
      <c r="K49" s="8"/>
      <c r="L49" s="8"/>
      <c r="N49" s="8"/>
      <c r="O49" s="8"/>
    </row>
    <row r="50" spans="1:16" ht="12.75">
      <c r="A50" s="9" t="s">
        <v>63</v>
      </c>
      <c r="B50" s="102" t="e">
        <f>B48/B49</f>
        <v>#DIV/0!</v>
      </c>
      <c r="K50" s="8"/>
      <c r="L50" s="8"/>
      <c r="N50" s="8"/>
      <c r="O50" s="8"/>
      <c r="P50" s="16">
        <f>P44-P48</f>
        <v>-3117272.727272727</v>
      </c>
    </row>
    <row r="51" spans="11:15" ht="12.75">
      <c r="K51" s="8"/>
      <c r="L51" s="8"/>
      <c r="N51" s="8"/>
      <c r="O51" s="8"/>
    </row>
    <row r="52" spans="11:15" ht="12.75">
      <c r="K52" s="8"/>
      <c r="L52" s="8"/>
      <c r="N52" s="8"/>
      <c r="O52" s="8"/>
    </row>
    <row r="53" spans="11:15" ht="12.75">
      <c r="K53" s="8"/>
      <c r="L53" s="8"/>
      <c r="N53" s="8"/>
      <c r="O53" s="8"/>
    </row>
    <row r="54" spans="11:15" ht="12.75">
      <c r="K54" s="8"/>
      <c r="L54" s="8"/>
      <c r="N54" s="8"/>
      <c r="O54" s="8"/>
    </row>
    <row r="55" spans="11:15" ht="12.75">
      <c r="K55" s="8"/>
      <c r="L55" s="8"/>
      <c r="N55" s="8"/>
      <c r="O55" s="8"/>
    </row>
    <row r="56" spans="11:15" ht="12.75">
      <c r="K56" s="8"/>
      <c r="L56" s="8"/>
      <c r="N56" s="8"/>
      <c r="O56" s="8"/>
    </row>
    <row r="57" spans="11:15" ht="12.75">
      <c r="K57" s="8"/>
      <c r="L57" s="8"/>
      <c r="N57" s="8"/>
      <c r="O57" s="8"/>
    </row>
    <row r="58" spans="11:15" ht="12.75">
      <c r="K58" s="8"/>
      <c r="L58" s="8"/>
      <c r="N58" s="8"/>
      <c r="O58" s="8"/>
    </row>
    <row r="59" spans="11:15" ht="12.75">
      <c r="K59" s="8"/>
      <c r="L59" s="8"/>
      <c r="N59" s="8"/>
      <c r="O59" s="8"/>
    </row>
    <row r="60" spans="11:15" ht="12.75">
      <c r="K60" s="8"/>
      <c r="L60" s="8"/>
      <c r="N60" s="8"/>
      <c r="O60" s="8"/>
    </row>
    <row r="61" spans="11:15" ht="12.75">
      <c r="K61" s="8"/>
      <c r="L61" s="8"/>
      <c r="N61" s="8"/>
      <c r="O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1:15" ht="12.75">
      <c r="K69" s="8"/>
      <c r="L69" s="8"/>
      <c r="N69" s="8"/>
      <c r="O69" s="8"/>
    </row>
    <row r="70" spans="11:15" ht="12.75"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1:15" ht="12.75">
      <c r="K76" s="8"/>
      <c r="L76" s="8"/>
      <c r="N76" s="8"/>
      <c r="O76" s="8"/>
    </row>
    <row r="77" spans="11:15" ht="12.75">
      <c r="K77" s="8"/>
      <c r="L77" s="8"/>
      <c r="N77" s="8"/>
      <c r="O77" s="8"/>
    </row>
    <row r="78" spans="11:15" ht="12.75">
      <c r="K78" s="8"/>
      <c r="L78" s="8"/>
      <c r="N78" s="8"/>
      <c r="O78" s="8"/>
    </row>
    <row r="79" spans="11:15" ht="12.75">
      <c r="K79" s="8"/>
      <c r="L79" s="8"/>
      <c r="N79" s="8"/>
      <c r="O79" s="8"/>
    </row>
    <row r="80" spans="11:15" ht="12.75">
      <c r="K80" s="8"/>
      <c r="L80" s="8"/>
      <c r="N80" s="8"/>
      <c r="O80" s="8"/>
    </row>
    <row r="81" spans="11:15" ht="12.75">
      <c r="K81" s="8"/>
      <c r="L81" s="8"/>
      <c r="N81" s="8"/>
      <c r="O81" s="8"/>
    </row>
    <row r="82" spans="11:15" ht="12.75">
      <c r="K82" s="8"/>
      <c r="L82" s="8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5" ht="12.75">
      <c r="K99" s="8"/>
      <c r="L99" s="8"/>
      <c r="N99" s="8"/>
      <c r="O99" s="8"/>
    </row>
    <row r="100" spans="11:15" ht="12.75">
      <c r="K100" s="8"/>
      <c r="L100" s="8"/>
      <c r="N100" s="8"/>
      <c r="O100" s="8"/>
    </row>
    <row r="101" spans="11:15" ht="12.75">
      <c r="K101" s="8"/>
      <c r="L101" s="8"/>
      <c r="N101" s="8"/>
      <c r="O101" s="8"/>
    </row>
    <row r="102" spans="11:15" ht="12.75">
      <c r="K102" s="8"/>
      <c r="L102" s="8"/>
      <c r="N102" s="8"/>
      <c r="O102" s="8"/>
    </row>
    <row r="103" spans="11:15" ht="12.75">
      <c r="K103" s="8"/>
      <c r="L103" s="8"/>
      <c r="N103" s="8"/>
      <c r="O103" s="8"/>
    </row>
    <row r="104" spans="11:15" ht="12.75">
      <c r="K104" s="8"/>
      <c r="L104" s="8"/>
      <c r="N104" s="8"/>
      <c r="O104" s="8"/>
    </row>
    <row r="105" spans="11:15" ht="12.75">
      <c r="K105" s="8"/>
      <c r="L105" s="8"/>
      <c r="N105" s="8"/>
      <c r="O105" s="8"/>
    </row>
    <row r="106" spans="11:15" ht="12.75">
      <c r="K106" s="8"/>
      <c r="L106" s="8"/>
      <c r="N106" s="8"/>
      <c r="O106" s="8"/>
    </row>
    <row r="107" spans="11:15" ht="12.75">
      <c r="K107" s="8"/>
      <c r="L107" s="8"/>
      <c r="N107" s="8"/>
      <c r="O107" s="8"/>
    </row>
    <row r="108" spans="11:15" ht="12.75">
      <c r="K108" s="8"/>
      <c r="L108" s="8"/>
      <c r="N108" s="8"/>
      <c r="O108" s="8"/>
    </row>
    <row r="109" spans="11:15" ht="12.75">
      <c r="K109" s="8"/>
      <c r="L109" s="8"/>
      <c r="N109" s="8"/>
      <c r="O109" s="8"/>
    </row>
    <row r="110" spans="11:15" ht="12.75">
      <c r="K110" s="8"/>
      <c r="L110" s="8"/>
      <c r="N110" s="8"/>
      <c r="O110" s="8"/>
    </row>
    <row r="111" spans="11:15" ht="12.75">
      <c r="K111" s="8"/>
      <c r="L111" s="8"/>
      <c r="N111" s="8"/>
      <c r="O111" s="8"/>
    </row>
    <row r="112" spans="11:15" ht="12.75">
      <c r="K112" s="8"/>
      <c r="L112" s="8"/>
      <c r="N112" s="8"/>
      <c r="O112" s="8"/>
    </row>
    <row r="113" spans="11:15" ht="12.75">
      <c r="K113" s="8"/>
      <c r="L113" s="8"/>
      <c r="N113" s="8"/>
      <c r="O113" s="8"/>
    </row>
    <row r="114" spans="11:15" ht="12.75">
      <c r="K114" s="8"/>
      <c r="L114" s="8"/>
      <c r="N114" s="8"/>
      <c r="O114" s="8"/>
    </row>
    <row r="115" spans="11:15" ht="12.75">
      <c r="K115" s="8"/>
      <c r="L115" s="8"/>
      <c r="N115" s="8"/>
      <c r="O115" s="8"/>
    </row>
    <row r="116" spans="11:15" ht="12.75">
      <c r="K116" s="8"/>
      <c r="L116" s="8"/>
      <c r="N116" s="8"/>
      <c r="O116" s="8"/>
    </row>
    <row r="117" spans="11:15" ht="12.75">
      <c r="K117" s="8"/>
      <c r="L117" s="8"/>
      <c r="N117" s="8"/>
      <c r="O117" s="8"/>
    </row>
    <row r="118" spans="11:15" ht="12.75">
      <c r="K118" s="8"/>
      <c r="L118" s="8"/>
      <c r="N118" s="8"/>
      <c r="O118" s="8"/>
    </row>
    <row r="119" spans="11:15" ht="12.75">
      <c r="K119" s="8"/>
      <c r="L119" s="8"/>
      <c r="N119" s="8"/>
      <c r="O119" s="8"/>
    </row>
    <row r="120" spans="11:15" ht="12.75">
      <c r="K120" s="8"/>
      <c r="L120" s="8"/>
      <c r="N120" s="8"/>
      <c r="O120" s="8"/>
    </row>
    <row r="121" spans="11:15" ht="12.75">
      <c r="K121" s="8"/>
      <c r="L121" s="8"/>
      <c r="N121" s="8"/>
      <c r="O121" s="8"/>
    </row>
    <row r="122" spans="11:15" ht="12.75">
      <c r="K122" s="8"/>
      <c r="L122" s="8"/>
      <c r="N122" s="8"/>
      <c r="O122" s="8"/>
    </row>
    <row r="123" spans="11:15" ht="12.75">
      <c r="K123" s="8"/>
      <c r="L123" s="8"/>
      <c r="N123" s="8"/>
      <c r="O123" s="8"/>
    </row>
    <row r="124" spans="11:15" ht="12.75">
      <c r="K124" s="8"/>
      <c r="L124" s="8"/>
      <c r="N124" s="8"/>
      <c r="O124" s="8"/>
    </row>
    <row r="125" spans="11:15" ht="12.75">
      <c r="K125" s="8"/>
      <c r="L125" s="8"/>
      <c r="N125" s="8"/>
      <c r="O125" s="8"/>
    </row>
    <row r="126" spans="11:15" ht="12.75">
      <c r="K126" s="8"/>
      <c r="L126" s="8"/>
      <c r="N126" s="8"/>
      <c r="O126" s="8"/>
    </row>
    <row r="127" spans="11:15" ht="12.75">
      <c r="K127" s="8"/>
      <c r="L127" s="8"/>
      <c r="N127" s="8"/>
      <c r="O127" s="8"/>
    </row>
    <row r="128" spans="11:15" ht="12.75">
      <c r="K128" s="8"/>
      <c r="L128" s="8"/>
      <c r="N128" s="8"/>
      <c r="O128" s="8"/>
    </row>
    <row r="129" spans="11:15" ht="12.75">
      <c r="K129" s="8"/>
      <c r="L129" s="8"/>
      <c r="N129" s="8"/>
      <c r="O129" s="8"/>
    </row>
    <row r="130" spans="11:15" ht="12.75">
      <c r="K130" s="8"/>
      <c r="L130" s="8"/>
      <c r="N130" s="8"/>
      <c r="O130" s="8"/>
    </row>
    <row r="131" spans="11:15" ht="12.75">
      <c r="K131" s="8"/>
      <c r="L131" s="8"/>
      <c r="N131" s="8"/>
      <c r="O131" s="8"/>
    </row>
    <row r="132" spans="11:15" ht="12.75">
      <c r="K132" s="8"/>
      <c r="L132" s="8"/>
      <c r="N132" s="8"/>
      <c r="O132" s="8"/>
    </row>
    <row r="133" spans="11:15" ht="12.75">
      <c r="K133" s="8"/>
      <c r="L133" s="8"/>
      <c r="N133" s="8"/>
      <c r="O133" s="8"/>
    </row>
    <row r="134" spans="11:15" ht="12.75">
      <c r="K134" s="8"/>
      <c r="L134" s="8"/>
      <c r="N134" s="8"/>
      <c r="O134" s="8"/>
    </row>
    <row r="135" spans="11:15" ht="12.75">
      <c r="K135" s="8"/>
      <c r="L135" s="8"/>
      <c r="N135" s="8"/>
      <c r="O135" s="8"/>
    </row>
    <row r="136" spans="11:15" ht="12.75">
      <c r="K136" s="8"/>
      <c r="L136" s="8"/>
      <c r="N136" s="8"/>
      <c r="O136" s="8"/>
    </row>
    <row r="137" spans="11:15" ht="12.75">
      <c r="K137" s="8"/>
      <c r="L137" s="8"/>
      <c r="N137" s="8"/>
      <c r="O137" s="8"/>
    </row>
    <row r="138" spans="11:15" ht="12.75">
      <c r="K138" s="8"/>
      <c r="L138" s="8"/>
      <c r="N138" s="8"/>
      <c r="O138" s="8"/>
    </row>
    <row r="139" spans="11:15" ht="12.75">
      <c r="K139" s="8"/>
      <c r="L139" s="8"/>
      <c r="N139" s="8"/>
      <c r="O139" s="8"/>
    </row>
    <row r="140" spans="11:15" ht="12.75">
      <c r="K140" s="8"/>
      <c r="L140" s="8"/>
      <c r="N140" s="8"/>
      <c r="O140" s="8"/>
    </row>
    <row r="141" spans="11:15" ht="12.75">
      <c r="K141" s="8"/>
      <c r="L141" s="8"/>
      <c r="N141" s="8"/>
      <c r="O141" s="8"/>
    </row>
    <row r="142" spans="11:15" ht="12.75">
      <c r="K142" s="8"/>
      <c r="L142" s="8"/>
      <c r="N142" s="8"/>
      <c r="O142" s="8"/>
    </row>
    <row r="143" spans="11:15" ht="12.75">
      <c r="K143" s="8"/>
      <c r="L143" s="8"/>
      <c r="N143" s="8"/>
      <c r="O143" s="8"/>
    </row>
    <row r="144" spans="11:15" ht="12.75">
      <c r="K144" s="8"/>
      <c r="L144" s="8"/>
      <c r="N144" s="8"/>
      <c r="O144" s="8"/>
    </row>
    <row r="145" spans="11:15" ht="12.75">
      <c r="K145" s="8"/>
      <c r="L145" s="8"/>
      <c r="N145" s="8"/>
      <c r="O145" s="8"/>
    </row>
    <row r="146" spans="11:15" ht="12.75">
      <c r="K146" s="8"/>
      <c r="L146" s="8"/>
      <c r="N146" s="8"/>
      <c r="O146" s="8"/>
    </row>
    <row r="147" spans="11:15" ht="12.75">
      <c r="K147" s="8"/>
      <c r="L147" s="8"/>
      <c r="N147" s="8"/>
      <c r="O147" s="8"/>
    </row>
    <row r="148" spans="11:15" ht="12.75">
      <c r="K148" s="8"/>
      <c r="L148" s="8"/>
      <c r="N148" s="8"/>
      <c r="O148" s="8"/>
    </row>
    <row r="149" spans="11:15" ht="12.75">
      <c r="K149" s="8"/>
      <c r="L149" s="8"/>
      <c r="N149" s="8"/>
      <c r="O149" s="8"/>
    </row>
    <row r="150" spans="11:15" ht="12.75">
      <c r="K150" s="8"/>
      <c r="L150" s="8"/>
      <c r="N150" s="8"/>
      <c r="O150" s="8"/>
    </row>
    <row r="151" spans="11:15" ht="12.75">
      <c r="K151" s="8"/>
      <c r="L151" s="8"/>
      <c r="N151" s="8"/>
      <c r="O151" s="8"/>
    </row>
    <row r="152" spans="11:15" ht="12.75">
      <c r="K152" s="8"/>
      <c r="L152" s="8"/>
      <c r="N152" s="8"/>
      <c r="O152" s="8"/>
    </row>
    <row r="153" spans="11:15" ht="12.75">
      <c r="K153" s="8"/>
      <c r="L153" s="8"/>
      <c r="N153" s="8"/>
      <c r="O153" s="8"/>
    </row>
    <row r="154" spans="11:15" ht="12.75">
      <c r="K154" s="8"/>
      <c r="L154" s="8"/>
      <c r="N154" s="8"/>
      <c r="O154" s="8"/>
    </row>
    <row r="155" spans="11:15" ht="12.75">
      <c r="K155" s="8"/>
      <c r="L155" s="8"/>
      <c r="N155" s="8"/>
      <c r="O155" s="8"/>
    </row>
    <row r="156" spans="11:15" ht="12.75">
      <c r="K156" s="8"/>
      <c r="L156" s="8"/>
      <c r="N156" s="8"/>
      <c r="O156" s="8"/>
    </row>
    <row r="157" spans="11:15" ht="12.75">
      <c r="K157" s="8"/>
      <c r="L157" s="8"/>
      <c r="N157" s="8"/>
      <c r="O157" s="8"/>
    </row>
    <row r="158" spans="11:15" ht="12.75">
      <c r="K158" s="8"/>
      <c r="L158" s="8"/>
      <c r="N158" s="8"/>
      <c r="O158" s="8"/>
    </row>
    <row r="159" spans="11:15" ht="12.75">
      <c r="K159" s="8"/>
      <c r="L159" s="8"/>
      <c r="N159" s="8"/>
      <c r="O159" s="8"/>
    </row>
    <row r="160" spans="11:15" ht="12.75">
      <c r="K160" s="8"/>
      <c r="L160" s="8"/>
      <c r="N160" s="8"/>
      <c r="O160" s="8"/>
    </row>
    <row r="161" spans="11:15" ht="12.75">
      <c r="K161" s="8"/>
      <c r="L161" s="8"/>
      <c r="N161" s="8"/>
      <c r="O161" s="8"/>
    </row>
    <row r="162" spans="11:15" ht="12.75">
      <c r="K162" s="8"/>
      <c r="L162" s="8"/>
      <c r="N162" s="8"/>
      <c r="O162" s="8"/>
    </row>
    <row r="163" spans="11:15" ht="12.75">
      <c r="K163" s="8"/>
      <c r="L163" s="8"/>
      <c r="N163" s="8"/>
      <c r="O163" s="8"/>
    </row>
    <row r="164" spans="11:15" ht="12.75">
      <c r="K164" s="8"/>
      <c r="L164" s="8"/>
      <c r="N164" s="8"/>
      <c r="O164" s="8"/>
    </row>
    <row r="165" spans="11:15" ht="12.75">
      <c r="K165" s="8"/>
      <c r="L165" s="8"/>
      <c r="N165" s="8"/>
      <c r="O165" s="8"/>
    </row>
    <row r="166" spans="11:15" ht="12.75">
      <c r="K166" s="8"/>
      <c r="L166" s="8"/>
      <c r="N166" s="8"/>
      <c r="O166" s="8"/>
    </row>
    <row r="167" spans="11:15" ht="12.75">
      <c r="K167" s="8"/>
      <c r="L167" s="8"/>
      <c r="N167" s="8"/>
      <c r="O167" s="8"/>
    </row>
    <row r="168" spans="11:15" ht="12.75">
      <c r="K168" s="8"/>
      <c r="L168" s="8"/>
      <c r="N168" s="8"/>
      <c r="O168" s="8"/>
    </row>
    <row r="169" spans="11:15" ht="12.75">
      <c r="K169" s="8"/>
      <c r="L169" s="8"/>
      <c r="N169" s="8"/>
      <c r="O169" s="8"/>
    </row>
    <row r="170" spans="11:15" ht="12.75">
      <c r="K170" s="8"/>
      <c r="L170" s="8"/>
      <c r="N170" s="8"/>
      <c r="O170" s="8"/>
    </row>
    <row r="171" spans="11:15" ht="12.75">
      <c r="K171" s="8"/>
      <c r="L171" s="8"/>
      <c r="N171" s="8"/>
      <c r="O171" s="8"/>
    </row>
    <row r="172" spans="11:15" ht="12.75">
      <c r="K172" s="8"/>
      <c r="L172" s="8"/>
      <c r="N172" s="8"/>
      <c r="O172" s="8"/>
    </row>
    <row r="173" spans="11:15" ht="12.75">
      <c r="K173" s="8"/>
      <c r="L173" s="8"/>
      <c r="N173" s="8"/>
      <c r="O173" s="8"/>
    </row>
    <row r="174" spans="11:15" ht="12.75">
      <c r="K174" s="8"/>
      <c r="L174" s="8"/>
      <c r="N174" s="8"/>
      <c r="O174" s="8"/>
    </row>
    <row r="175" spans="11:15" ht="12.75">
      <c r="K175" s="8"/>
      <c r="L175" s="8"/>
      <c r="N175" s="8"/>
      <c r="O175" s="8"/>
    </row>
    <row r="176" spans="11:15" ht="12.75">
      <c r="K176" s="8"/>
      <c r="L176" s="8"/>
      <c r="N176" s="8"/>
      <c r="O176" s="8"/>
    </row>
    <row r="177" spans="11:15" ht="12.75">
      <c r="K177" s="8"/>
      <c r="L177" s="8"/>
      <c r="N177" s="8"/>
      <c r="O177" s="8"/>
    </row>
    <row r="178" spans="11:15" ht="12.75">
      <c r="K178" s="8"/>
      <c r="L178" s="8"/>
      <c r="N178" s="8"/>
      <c r="O178" s="8"/>
    </row>
    <row r="179" spans="11:15" ht="12.75">
      <c r="K179" s="8"/>
      <c r="L179" s="8"/>
      <c r="N179" s="8"/>
      <c r="O179" s="8"/>
    </row>
    <row r="180" spans="11:15" ht="12.75">
      <c r="K180" s="8"/>
      <c r="L180" s="8"/>
      <c r="N180" s="8"/>
      <c r="O180" s="8"/>
    </row>
    <row r="181" spans="11:15" ht="12.75">
      <c r="K181" s="8"/>
      <c r="L181" s="8"/>
      <c r="N181" s="8"/>
      <c r="O181" s="8"/>
    </row>
    <row r="182" spans="11:15" ht="12.75">
      <c r="K182" s="8"/>
      <c r="L182" s="8"/>
      <c r="N182" s="8"/>
      <c r="O182" s="8"/>
    </row>
    <row r="183" spans="11:15" ht="12.75">
      <c r="K183" s="8"/>
      <c r="L183" s="8"/>
      <c r="N183" s="8"/>
      <c r="O183" s="8"/>
    </row>
    <row r="184" spans="11:15" ht="12.75">
      <c r="K184" s="8"/>
      <c r="L184" s="8"/>
      <c r="N184" s="8"/>
      <c r="O184" s="8"/>
    </row>
    <row r="185" spans="11:15" ht="12.75">
      <c r="K185" s="8"/>
      <c r="L185" s="8"/>
      <c r="N185" s="8"/>
      <c r="O185" s="8"/>
    </row>
    <row r="186" spans="11:15" ht="12.75">
      <c r="K186" s="8"/>
      <c r="L186" s="8"/>
      <c r="N186" s="8"/>
      <c r="O186" s="8"/>
    </row>
    <row r="187" spans="11:15" ht="12.75">
      <c r="K187" s="8"/>
      <c r="L187" s="8"/>
      <c r="N187" s="8"/>
      <c r="O187" s="8"/>
    </row>
    <row r="188" spans="11:15" ht="12.75">
      <c r="K188" s="8"/>
      <c r="L188" s="8"/>
      <c r="N188" s="8"/>
      <c r="O188" s="8"/>
    </row>
    <row r="189" spans="11:15" ht="12.75">
      <c r="K189" s="8"/>
      <c r="L189" s="8"/>
      <c r="N189" s="8"/>
      <c r="O189" s="8"/>
    </row>
    <row r="190" spans="11:15" ht="12.75">
      <c r="K190" s="8"/>
      <c r="L190" s="8"/>
      <c r="N190" s="8"/>
      <c r="O190" s="8"/>
    </row>
    <row r="191" spans="11:15" ht="12.75">
      <c r="K191" s="8"/>
      <c r="L191" s="8"/>
      <c r="N191" s="8"/>
      <c r="O191" s="8"/>
    </row>
    <row r="192" spans="11:15" ht="12.75">
      <c r="K192" s="8"/>
      <c r="L192" s="8"/>
      <c r="N192" s="8"/>
      <c r="O192" s="8"/>
    </row>
    <row r="193" spans="11:15" ht="12.75">
      <c r="K193" s="8"/>
      <c r="L193" s="8"/>
      <c r="N193" s="8"/>
      <c r="O193" s="8"/>
    </row>
    <row r="194" spans="11:15" ht="12.75">
      <c r="K194" s="8"/>
      <c r="L194" s="8"/>
      <c r="N194" s="8"/>
      <c r="O194" s="8"/>
    </row>
    <row r="195" spans="11:15" ht="12.75">
      <c r="K195" s="8"/>
      <c r="L195" s="8"/>
      <c r="N195" s="8"/>
      <c r="O195" s="8"/>
    </row>
    <row r="196" spans="11:15" ht="12.75">
      <c r="K196" s="8"/>
      <c r="L196" s="8"/>
      <c r="N196" s="8"/>
      <c r="O196" s="8"/>
    </row>
    <row r="197" spans="11:15" ht="12.75">
      <c r="K197" s="8"/>
      <c r="L197" s="8"/>
      <c r="N197" s="8"/>
      <c r="O197" s="8"/>
    </row>
    <row r="198" spans="11:15" ht="12.75">
      <c r="K198" s="8"/>
      <c r="L198" s="8"/>
      <c r="N198" s="8"/>
      <c r="O198" s="8"/>
    </row>
    <row r="199" spans="11:15" ht="12.75">
      <c r="K199" s="8"/>
      <c r="L199" s="8"/>
      <c r="N199" s="8"/>
      <c r="O199" s="8"/>
    </row>
    <row r="200" spans="11:15" ht="12.75">
      <c r="K200" s="8"/>
      <c r="L200" s="8"/>
      <c r="N200" s="8"/>
      <c r="O200" s="8"/>
    </row>
    <row r="201" spans="11:15" ht="12.75">
      <c r="K201" s="8"/>
      <c r="L201" s="8"/>
      <c r="N201" s="8"/>
      <c r="O201" s="8"/>
    </row>
    <row r="202" spans="11:15" ht="12.75">
      <c r="K202" s="8"/>
      <c r="L202" s="8"/>
      <c r="N202" s="8"/>
      <c r="O202" s="8"/>
    </row>
    <row r="203" spans="11:15" ht="12.75">
      <c r="K203" s="8"/>
      <c r="L203" s="8"/>
      <c r="N203" s="8"/>
      <c r="O203" s="8"/>
    </row>
    <row r="204" spans="11:15" ht="12.75">
      <c r="K204" s="8"/>
      <c r="L204" s="8"/>
      <c r="N204" s="8"/>
      <c r="O204" s="8"/>
    </row>
    <row r="205" spans="11:15" ht="12.75">
      <c r="K205" s="8"/>
      <c r="L205" s="8"/>
      <c r="N205" s="8"/>
      <c r="O205" s="8"/>
    </row>
    <row r="206" spans="11:15" ht="12.75">
      <c r="K206" s="8"/>
      <c r="L206" s="8"/>
      <c r="N206" s="8"/>
      <c r="O206" s="8"/>
    </row>
    <row r="207" spans="11:15" ht="12.75">
      <c r="K207" s="8"/>
      <c r="L207" s="8"/>
      <c r="N207" s="8"/>
      <c r="O207" s="8"/>
    </row>
    <row r="208" spans="11:15" ht="12.75">
      <c r="K208" s="8"/>
      <c r="L208" s="8"/>
      <c r="N208" s="8"/>
      <c r="O208" s="8"/>
    </row>
    <row r="209" spans="11:15" ht="12.75">
      <c r="K209" s="8"/>
      <c r="L209" s="8"/>
      <c r="N209" s="8"/>
      <c r="O209" s="8"/>
    </row>
    <row r="210" spans="11:15" ht="12.75">
      <c r="K210" s="8"/>
      <c r="L210" s="8"/>
      <c r="N210" s="8"/>
      <c r="O210" s="8"/>
    </row>
    <row r="211" spans="11:15" ht="12.75">
      <c r="K211" s="8"/>
      <c r="L211" s="8"/>
      <c r="N211" s="8"/>
      <c r="O211" s="8"/>
    </row>
    <row r="212" spans="11:15" ht="12.75">
      <c r="K212" s="8"/>
      <c r="L212" s="8"/>
      <c r="N212" s="8"/>
      <c r="O212" s="8"/>
    </row>
    <row r="213" spans="11:15" ht="12.75">
      <c r="K213" s="8"/>
      <c r="L213" s="8"/>
      <c r="N213" s="8"/>
      <c r="O213" s="8"/>
    </row>
    <row r="214" spans="11:15" ht="12.75">
      <c r="K214" s="8"/>
      <c r="L214" s="8"/>
      <c r="N214" s="8"/>
      <c r="O214" s="8"/>
    </row>
    <row r="215" spans="11:15" ht="12.75">
      <c r="K215" s="8"/>
      <c r="L215" s="8"/>
      <c r="N215" s="8"/>
      <c r="O215" s="8"/>
    </row>
    <row r="216" spans="11:15" ht="12.75">
      <c r="K216" s="8"/>
      <c r="L216" s="8"/>
      <c r="N216" s="8"/>
      <c r="O216" s="8"/>
    </row>
    <row r="217" spans="11:15" ht="12.75">
      <c r="K217" s="8"/>
      <c r="L217" s="8"/>
      <c r="N217" s="8"/>
      <c r="O217" s="8"/>
    </row>
    <row r="218" spans="11:15" ht="12.75">
      <c r="K218" s="8"/>
      <c r="L218" s="8"/>
      <c r="N218" s="8"/>
      <c r="O218" s="8"/>
    </row>
    <row r="219" spans="11:15" ht="12.75">
      <c r="K219" s="8"/>
      <c r="L219" s="8"/>
      <c r="N219" s="8"/>
      <c r="O219" s="8"/>
    </row>
    <row r="220" spans="11:15" ht="12.75">
      <c r="K220" s="8"/>
      <c r="L220" s="8"/>
      <c r="N220" s="8"/>
      <c r="O220" s="8"/>
    </row>
    <row r="221" spans="11:15" ht="12.75">
      <c r="K221" s="8"/>
      <c r="L221" s="8"/>
      <c r="N221" s="8"/>
      <c r="O221" s="8"/>
    </row>
    <row r="222" spans="11:15" ht="12.75">
      <c r="K222" s="8"/>
      <c r="L222" s="8"/>
      <c r="N222" s="8"/>
      <c r="O222" s="8"/>
    </row>
    <row r="223" spans="11:15" ht="12.75">
      <c r="K223" s="8"/>
      <c r="L223" s="8"/>
      <c r="N223" s="8"/>
      <c r="O223" s="8"/>
    </row>
    <row r="224" spans="11:15" ht="12.75">
      <c r="K224" s="8"/>
      <c r="L224" s="8"/>
      <c r="N224" s="8"/>
      <c r="O224" s="8"/>
    </row>
    <row r="225" spans="11:15" ht="12.75">
      <c r="K225" s="8"/>
      <c r="L225" s="8"/>
      <c r="N225" s="8"/>
      <c r="O225" s="8"/>
    </row>
    <row r="226" spans="11:15" ht="12.75">
      <c r="K226" s="8"/>
      <c r="L226" s="8"/>
      <c r="N226" s="8"/>
      <c r="O226" s="8"/>
    </row>
    <row r="227" spans="11:15" ht="12.75">
      <c r="K227" s="8"/>
      <c r="L227" s="8"/>
      <c r="N227" s="8"/>
      <c r="O227" s="8"/>
    </row>
    <row r="228" spans="11:15" ht="12.75">
      <c r="K228" s="8"/>
      <c r="L228" s="8"/>
      <c r="N228" s="8"/>
      <c r="O228" s="8"/>
    </row>
    <row r="229" spans="11:15" ht="12.75">
      <c r="K229" s="8"/>
      <c r="L229" s="8"/>
      <c r="N229" s="8"/>
      <c r="O229" s="8"/>
    </row>
    <row r="230" spans="11:15" ht="12.75">
      <c r="K230" s="8"/>
      <c r="L230" s="8"/>
      <c r="N230" s="8"/>
      <c r="O230" s="8"/>
    </row>
    <row r="231" spans="11:15" ht="12.75">
      <c r="K231" s="8"/>
      <c r="L231" s="8"/>
      <c r="N231" s="8"/>
      <c r="O231" s="8"/>
    </row>
    <row r="232" spans="11:15" ht="12.75">
      <c r="K232" s="8"/>
      <c r="L232" s="8"/>
      <c r="N232" s="8"/>
      <c r="O232" s="8"/>
    </row>
    <row r="233" spans="11:15" ht="12.75">
      <c r="K233" s="8"/>
      <c r="L233" s="8"/>
      <c r="N233" s="8"/>
      <c r="O233" s="8"/>
    </row>
    <row r="234" spans="11:15" ht="12.75">
      <c r="K234" s="8"/>
      <c r="L234" s="8"/>
      <c r="N234" s="8"/>
      <c r="O234" s="8"/>
    </row>
    <row r="235" spans="11:15" ht="12.75">
      <c r="K235" s="8"/>
      <c r="L235" s="8"/>
      <c r="N235" s="8"/>
      <c r="O235" s="8"/>
    </row>
    <row r="236" spans="11:15" ht="12.75">
      <c r="K236" s="8"/>
      <c r="L236" s="8"/>
      <c r="N236" s="8"/>
      <c r="O236" s="8"/>
    </row>
    <row r="237" spans="11:15" ht="12.75">
      <c r="K237" s="8"/>
      <c r="L237" s="8"/>
      <c r="N237" s="8"/>
      <c r="O237" s="8"/>
    </row>
    <row r="238" spans="11:15" ht="12.75">
      <c r="K238" s="8"/>
      <c r="L238" s="8"/>
      <c r="N238" s="8"/>
      <c r="O238" s="8"/>
    </row>
    <row r="239" spans="11:15" ht="12.75">
      <c r="K239" s="8"/>
      <c r="L239" s="8"/>
      <c r="N239" s="8"/>
      <c r="O239" s="8"/>
    </row>
    <row r="240" spans="11:15" ht="12.75">
      <c r="K240" s="8"/>
      <c r="L240" s="8"/>
      <c r="N240" s="8"/>
      <c r="O240" s="8"/>
    </row>
    <row r="241" spans="11:15" ht="12.75">
      <c r="K241" s="8"/>
      <c r="L241" s="8"/>
      <c r="N241" s="8"/>
      <c r="O241" s="8"/>
    </row>
    <row r="242" spans="11:15" ht="12.75">
      <c r="K242" s="8"/>
      <c r="L242" s="8"/>
      <c r="N242" s="8"/>
      <c r="O242" s="8"/>
    </row>
    <row r="243" spans="11:15" ht="12.75">
      <c r="K243" s="8"/>
      <c r="L243" s="8"/>
      <c r="N243" s="8"/>
      <c r="O243" s="8"/>
    </row>
    <row r="244" spans="11:15" ht="12.75">
      <c r="K244" s="8"/>
      <c r="L244" s="8"/>
      <c r="N244" s="8"/>
      <c r="O244" s="8"/>
    </row>
    <row r="245" spans="11:15" ht="12.75">
      <c r="K245" s="8"/>
      <c r="L245" s="8"/>
      <c r="N245" s="8"/>
      <c r="O245" s="8"/>
    </row>
    <row r="246" spans="11:15" ht="12.75">
      <c r="K246" s="8"/>
      <c r="L246" s="8"/>
      <c r="N246" s="8"/>
      <c r="O246" s="8"/>
    </row>
    <row r="247" spans="11:15" ht="12.75">
      <c r="K247" s="8"/>
      <c r="L247" s="8"/>
      <c r="N247" s="8"/>
      <c r="O247" s="8"/>
    </row>
    <row r="248" spans="11:15" ht="12.75">
      <c r="K248" s="8"/>
      <c r="L248" s="8"/>
      <c r="N248" s="8"/>
      <c r="O248" s="8"/>
    </row>
    <row r="249" spans="11:15" ht="12.75">
      <c r="K249" s="8"/>
      <c r="L249" s="8"/>
      <c r="N249" s="8"/>
      <c r="O249" s="8"/>
    </row>
    <row r="250" spans="11:15" ht="12.75">
      <c r="K250" s="8"/>
      <c r="L250" s="8"/>
      <c r="N250" s="8"/>
      <c r="O250" s="8"/>
    </row>
    <row r="251" spans="11:15" ht="12.75">
      <c r="K251" s="8"/>
      <c r="L251" s="8"/>
      <c r="N251" s="8"/>
      <c r="O251" s="8"/>
    </row>
    <row r="252" spans="11:15" ht="12.75">
      <c r="K252" s="8"/>
      <c r="L252" s="8"/>
      <c r="N252" s="8"/>
      <c r="O252" s="8"/>
    </row>
    <row r="253" spans="11:15" ht="12.75">
      <c r="K253" s="8"/>
      <c r="L253" s="8"/>
      <c r="N253" s="8"/>
      <c r="O253" s="8"/>
    </row>
    <row r="254" spans="11:15" ht="12.75">
      <c r="K254" s="8"/>
      <c r="L254" s="8"/>
      <c r="N254" s="8"/>
      <c r="O254" s="8"/>
    </row>
    <row r="255" spans="11:15" ht="12.75">
      <c r="K255" s="8"/>
      <c r="L255" s="8"/>
      <c r="N255" s="8"/>
      <c r="O255" s="8"/>
    </row>
    <row r="256" spans="11:15" ht="12.75">
      <c r="K256" s="8"/>
      <c r="L256" s="8"/>
      <c r="N256" s="8"/>
      <c r="O256" s="8"/>
    </row>
    <row r="257" spans="11:15" ht="12.75">
      <c r="K257" s="8"/>
      <c r="L257" s="8"/>
      <c r="N257" s="8"/>
      <c r="O257" s="8"/>
    </row>
    <row r="258" spans="11:15" ht="12.75">
      <c r="K258" s="8"/>
      <c r="L258" s="8"/>
      <c r="N258" s="8"/>
      <c r="O258" s="8"/>
    </row>
    <row r="259" spans="11:15" ht="12.75">
      <c r="K259" s="8"/>
      <c r="L259" s="8"/>
      <c r="N259" s="8"/>
      <c r="O259" s="8"/>
    </row>
    <row r="260" spans="11:15" ht="12.75">
      <c r="K260" s="8"/>
      <c r="L260" s="8"/>
      <c r="N260" s="8"/>
      <c r="O260" s="8"/>
    </row>
    <row r="261" spans="11:15" ht="12.75">
      <c r="K261" s="8"/>
      <c r="L261" s="8"/>
      <c r="N261" s="8"/>
      <c r="O261" s="8"/>
    </row>
    <row r="262" spans="11:15" ht="12.75">
      <c r="K262" s="8"/>
      <c r="L262" s="8"/>
      <c r="N262" s="8"/>
      <c r="O262" s="8"/>
    </row>
    <row r="263" spans="11:15" ht="12.75">
      <c r="K263" s="8"/>
      <c r="L263" s="8"/>
      <c r="N263" s="8"/>
      <c r="O263" s="8"/>
    </row>
    <row r="264" spans="11:15" ht="12.75">
      <c r="K264" s="8"/>
      <c r="L264" s="8"/>
      <c r="N264" s="8"/>
      <c r="O264" s="8"/>
    </row>
    <row r="265" spans="11:15" ht="12.75">
      <c r="K265" s="8"/>
      <c r="L265" s="8"/>
      <c r="N265" s="8"/>
      <c r="O265" s="8"/>
    </row>
    <row r="266" spans="11:15" ht="12.75">
      <c r="K266" s="8"/>
      <c r="L266" s="8"/>
      <c r="N266" s="8"/>
      <c r="O266" s="8"/>
    </row>
    <row r="267" spans="11:15" ht="12.75">
      <c r="K267" s="8"/>
      <c r="L267" s="8"/>
      <c r="N267" s="8"/>
      <c r="O267" s="8"/>
    </row>
    <row r="268" spans="11:15" ht="12.75">
      <c r="K268" s="8"/>
      <c r="L268" s="8"/>
      <c r="N268" s="8"/>
      <c r="O268" s="8"/>
    </row>
    <row r="269" spans="11:15" ht="12.75">
      <c r="K269" s="8"/>
      <c r="L269" s="8"/>
      <c r="N269" s="8"/>
      <c r="O269" s="8"/>
    </row>
    <row r="270" spans="11:15" ht="12.75">
      <c r="K270" s="8"/>
      <c r="L270" s="8"/>
      <c r="N270" s="8"/>
      <c r="O270" s="8"/>
    </row>
    <row r="271" spans="11:15" ht="12.75">
      <c r="K271" s="8"/>
      <c r="L271" s="8"/>
      <c r="N271" s="8"/>
      <c r="O271" s="8"/>
    </row>
    <row r="272" spans="11:15" ht="12.75">
      <c r="K272" s="8"/>
      <c r="L272" s="8"/>
      <c r="N272" s="8"/>
      <c r="O272" s="8"/>
    </row>
    <row r="273" spans="11:15" ht="12.75">
      <c r="K273" s="8"/>
      <c r="L273" s="8"/>
      <c r="N273" s="8"/>
      <c r="O273" s="8"/>
    </row>
    <row r="274" spans="11:15" ht="12.75">
      <c r="K274" s="8"/>
      <c r="L274" s="8"/>
      <c r="N274" s="8"/>
      <c r="O274" s="8"/>
    </row>
    <row r="275" spans="11:15" ht="12.75">
      <c r="K275" s="8"/>
      <c r="L275" s="8"/>
      <c r="N275" s="8"/>
      <c r="O275" s="8"/>
    </row>
    <row r="276" spans="11:15" ht="12.75">
      <c r="K276" s="8"/>
      <c r="L276" s="8"/>
      <c r="N276" s="8"/>
      <c r="O276" s="8"/>
    </row>
    <row r="277" spans="11:15" ht="12.75">
      <c r="K277" s="8"/>
      <c r="L277" s="8"/>
      <c r="N277" s="8"/>
      <c r="O277" s="8"/>
    </row>
    <row r="278" spans="11:15" ht="12.75">
      <c r="K278" s="8"/>
      <c r="L278" s="8"/>
      <c r="N278" s="8"/>
      <c r="O278" s="8"/>
    </row>
    <row r="279" spans="11:15" ht="12.75">
      <c r="K279" s="8"/>
      <c r="L279" s="8"/>
      <c r="N279" s="8"/>
      <c r="O279" s="8"/>
    </row>
    <row r="280" spans="11:15" ht="12.75">
      <c r="K280" s="8"/>
      <c r="L280" s="8"/>
      <c r="N280" s="8"/>
      <c r="O280" s="8"/>
    </row>
    <row r="281" spans="11:15" ht="12.75">
      <c r="K281" s="8"/>
      <c r="L281" s="8"/>
      <c r="N281" s="8"/>
      <c r="O281" s="8"/>
    </row>
    <row r="282" spans="11:15" ht="12.75">
      <c r="K282" s="8"/>
      <c r="L282" s="8"/>
      <c r="N282" s="8"/>
      <c r="O282" s="8"/>
    </row>
    <row r="283" spans="11:15" ht="12.75">
      <c r="K283" s="8"/>
      <c r="L283" s="8"/>
      <c r="N283" s="8"/>
      <c r="O283" s="8"/>
    </row>
    <row r="284" spans="11:15" ht="12.75">
      <c r="K284" s="8"/>
      <c r="L284" s="8"/>
      <c r="N284" s="8"/>
      <c r="O284" s="8"/>
    </row>
    <row r="285" spans="11:15" ht="12.75">
      <c r="K285" s="8"/>
      <c r="L285" s="8"/>
      <c r="N285" s="8"/>
      <c r="O285" s="8"/>
    </row>
    <row r="286" spans="11:15" ht="12.75">
      <c r="K286" s="8"/>
      <c r="L286" s="8"/>
      <c r="N286" s="8"/>
      <c r="O286" s="8"/>
    </row>
    <row r="287" spans="11:15" ht="12.75">
      <c r="K287" s="8"/>
      <c r="L287" s="8"/>
      <c r="N287" s="8"/>
      <c r="O287" s="8"/>
    </row>
    <row r="288" spans="11:15" ht="12.75">
      <c r="K288" s="8"/>
      <c r="L288" s="8"/>
      <c r="N288" s="8"/>
      <c r="O288" s="8"/>
    </row>
    <row r="289" spans="11:15" ht="12.75">
      <c r="K289" s="8"/>
      <c r="L289" s="8"/>
      <c r="N289" s="8"/>
      <c r="O289" s="8"/>
    </row>
    <row r="290" spans="11:15" ht="12.75">
      <c r="K290" s="8"/>
      <c r="L290" s="8"/>
      <c r="N290" s="8"/>
      <c r="O290" s="8"/>
    </row>
    <row r="291" spans="11:15" ht="12.75">
      <c r="K291" s="8"/>
      <c r="L291" s="8"/>
      <c r="N291" s="8"/>
      <c r="O291" s="8"/>
    </row>
    <row r="292" spans="11:15" ht="12.75">
      <c r="K292" s="8"/>
      <c r="L292" s="8"/>
      <c r="N292" s="8"/>
      <c r="O292" s="8"/>
    </row>
    <row r="293" spans="11:15" ht="12.75">
      <c r="K293" s="8"/>
      <c r="L293" s="8"/>
      <c r="N293" s="8"/>
      <c r="O293" s="8"/>
    </row>
    <row r="294" spans="11:15" ht="12.75">
      <c r="K294" s="8"/>
      <c r="L294" s="8"/>
      <c r="N294" s="8"/>
      <c r="O294" s="8"/>
    </row>
    <row r="295" spans="11:15" ht="12.75">
      <c r="K295" s="8"/>
      <c r="L295" s="8"/>
      <c r="N295" s="8"/>
      <c r="O295" s="8"/>
    </row>
    <row r="296" spans="11:15" ht="12.75">
      <c r="K296" s="8"/>
      <c r="L296" s="8"/>
      <c r="N296" s="8"/>
      <c r="O296" s="8"/>
    </row>
    <row r="297" spans="11:15" ht="12.75">
      <c r="K297" s="8"/>
      <c r="L297" s="8"/>
      <c r="N297" s="8"/>
      <c r="O297" s="8"/>
    </row>
    <row r="298" spans="11:15" ht="12.75">
      <c r="K298" s="8"/>
      <c r="L298" s="8"/>
      <c r="N298" s="8"/>
      <c r="O298" s="8"/>
    </row>
    <row r="299" spans="11:15" ht="12.75">
      <c r="K299" s="8"/>
      <c r="L299" s="8"/>
      <c r="N299" s="8"/>
      <c r="O299" s="8"/>
    </row>
    <row r="300" spans="11:15" ht="12.75">
      <c r="K300" s="8"/>
      <c r="L300" s="8"/>
      <c r="N300" s="8"/>
      <c r="O300" s="8"/>
    </row>
    <row r="301" spans="11:15" ht="12.75">
      <c r="K301" s="8"/>
      <c r="L301" s="8"/>
      <c r="N301" s="8"/>
      <c r="O301" s="8"/>
    </row>
    <row r="302" spans="11:15" ht="12.75">
      <c r="K302" s="8"/>
      <c r="L302" s="8"/>
      <c r="N302" s="8"/>
      <c r="O302" s="8"/>
    </row>
    <row r="303" spans="11:15" ht="12.75">
      <c r="K303" s="8"/>
      <c r="L303" s="8"/>
      <c r="N303" s="8"/>
      <c r="O303" s="8"/>
    </row>
    <row r="304" spans="11:15" ht="12.75">
      <c r="K304" s="8"/>
      <c r="L304" s="8"/>
      <c r="N304" s="8"/>
      <c r="O304" s="8"/>
    </row>
    <row r="305" spans="11:15" ht="12.75">
      <c r="K305" s="8"/>
      <c r="L305" s="8"/>
      <c r="N305" s="8"/>
      <c r="O305" s="8"/>
    </row>
    <row r="306" spans="11:15" ht="12.75">
      <c r="K306" s="8"/>
      <c r="L306" s="8"/>
      <c r="N306" s="8"/>
      <c r="O306" s="8"/>
    </row>
    <row r="307" spans="11:15" ht="12.75">
      <c r="K307" s="8"/>
      <c r="L307" s="8"/>
      <c r="N307" s="8"/>
      <c r="O307" s="8"/>
    </row>
    <row r="308" spans="11:15" ht="12.75">
      <c r="K308" s="8"/>
      <c r="L308" s="8"/>
      <c r="N308" s="8"/>
      <c r="O308" s="8"/>
    </row>
    <row r="309" spans="11:15" ht="12.75">
      <c r="K309" s="8"/>
      <c r="L309" s="8"/>
      <c r="N309" s="8"/>
      <c r="O309" s="8"/>
    </row>
    <row r="310" spans="11:15" ht="12.75">
      <c r="K310" s="8"/>
      <c r="L310" s="8"/>
      <c r="N310" s="8"/>
      <c r="O310" s="8"/>
    </row>
    <row r="311" spans="11:15" ht="12.75">
      <c r="K311" s="8"/>
      <c r="L311" s="8"/>
      <c r="N311" s="8"/>
      <c r="O311" s="8"/>
    </row>
    <row r="312" spans="11:15" ht="12.75">
      <c r="K312" s="8"/>
      <c r="L312" s="8"/>
      <c r="N312" s="8"/>
      <c r="O312" s="8"/>
    </row>
    <row r="313" spans="11:15" ht="12.75">
      <c r="K313" s="8"/>
      <c r="L313" s="8"/>
      <c r="N313" s="8"/>
      <c r="O313" s="8"/>
    </row>
    <row r="314" spans="11:15" ht="12.75">
      <c r="K314" s="8"/>
      <c r="L314" s="8"/>
      <c r="N314" s="8"/>
      <c r="O314" s="8"/>
    </row>
    <row r="315" spans="11:15" ht="12.75">
      <c r="K315" s="8"/>
      <c r="L315" s="8"/>
      <c r="N315" s="8"/>
      <c r="O315" s="8"/>
    </row>
    <row r="316" spans="11:15" ht="12.75">
      <c r="K316" s="8"/>
      <c r="L316" s="8"/>
      <c r="N316" s="8"/>
      <c r="O316" s="8"/>
    </row>
    <row r="317" spans="11:15" ht="12.75">
      <c r="K317" s="8"/>
      <c r="L317" s="8"/>
      <c r="N317" s="8"/>
      <c r="O317" s="8"/>
    </row>
    <row r="318" spans="11:15" ht="12.75">
      <c r="K318" s="8"/>
      <c r="L318" s="8"/>
      <c r="N318" s="8"/>
      <c r="O318" s="8"/>
    </row>
    <row r="319" spans="11:15" ht="12.75">
      <c r="K319" s="8"/>
      <c r="L319" s="8"/>
      <c r="N319" s="8"/>
      <c r="O319" s="8"/>
    </row>
    <row r="320" spans="11:15" ht="12.75">
      <c r="K320" s="8"/>
      <c r="L320" s="8"/>
      <c r="N320" s="8"/>
      <c r="O320" s="8"/>
    </row>
    <row r="321" spans="11:15" ht="12.75">
      <c r="K321" s="8"/>
      <c r="L321" s="8"/>
      <c r="N321" s="8"/>
      <c r="O321" s="8"/>
    </row>
    <row r="322" spans="11:15" ht="12.75">
      <c r="K322" s="8"/>
      <c r="L322" s="8"/>
      <c r="N322" s="8"/>
      <c r="O322" s="8"/>
    </row>
    <row r="323" spans="11:15" ht="12.75">
      <c r="K323" s="8"/>
      <c r="L323" s="8"/>
      <c r="N323" s="8"/>
      <c r="O323" s="8"/>
    </row>
    <row r="324" spans="11:15" ht="12.75">
      <c r="K324" s="8"/>
      <c r="L324" s="8"/>
      <c r="N324" s="8"/>
      <c r="O324" s="8"/>
    </row>
    <row r="325" spans="11:15" ht="12.75">
      <c r="K325" s="8"/>
      <c r="L325" s="8"/>
      <c r="N325" s="8"/>
      <c r="O325" s="8"/>
    </row>
    <row r="326" spans="11:15" ht="12.75">
      <c r="K326" s="8"/>
      <c r="L326" s="8"/>
      <c r="N326" s="8"/>
      <c r="O326" s="8"/>
    </row>
    <row r="327" spans="11:15" ht="12.75">
      <c r="K327" s="8"/>
      <c r="L327" s="8"/>
      <c r="N327" s="8"/>
      <c r="O327" s="8"/>
    </row>
    <row r="328" spans="11:15" ht="12.75">
      <c r="K328" s="8"/>
      <c r="L328" s="8"/>
      <c r="N328" s="8"/>
      <c r="O328" s="8"/>
    </row>
    <row r="329" spans="11:15" ht="12.75">
      <c r="K329" s="8"/>
      <c r="L329" s="8"/>
      <c r="N329" s="8"/>
      <c r="O329" s="8"/>
    </row>
    <row r="330" spans="11:15" ht="12.75">
      <c r="K330" s="8"/>
      <c r="L330" s="8"/>
      <c r="N330" s="8"/>
      <c r="O330" s="8"/>
    </row>
    <row r="331" spans="11:15" ht="12.75">
      <c r="K331" s="8"/>
      <c r="L331" s="8"/>
      <c r="N331" s="8"/>
      <c r="O331" s="8"/>
    </row>
    <row r="332" spans="11:15" ht="12.75">
      <c r="K332" s="8"/>
      <c r="L332" s="8"/>
      <c r="N332" s="8"/>
      <c r="O332" s="8"/>
    </row>
    <row r="333" spans="11:15" ht="12.75">
      <c r="K333" s="8"/>
      <c r="L333" s="8"/>
      <c r="N333" s="8"/>
      <c r="O333" s="8"/>
    </row>
    <row r="334" spans="11:15" ht="12.75">
      <c r="K334" s="8"/>
      <c r="L334" s="8"/>
      <c r="N334" s="8"/>
      <c r="O334" s="8"/>
    </row>
    <row r="335" spans="11:15" ht="12.75">
      <c r="K335" s="8"/>
      <c r="L335" s="8"/>
      <c r="N335" s="8"/>
      <c r="O335" s="8"/>
    </row>
    <row r="336" spans="11:15" ht="12.75">
      <c r="K336" s="8"/>
      <c r="L336" s="8"/>
      <c r="N336" s="8"/>
      <c r="O336" s="8"/>
    </row>
    <row r="337" spans="11:15" ht="12.75">
      <c r="K337" s="8"/>
      <c r="L337" s="8"/>
      <c r="N337" s="8"/>
      <c r="O337" s="8"/>
    </row>
    <row r="338" spans="11:15" ht="12.75">
      <c r="K338" s="8"/>
      <c r="L338" s="8"/>
      <c r="N338" s="8"/>
      <c r="O338" s="8"/>
    </row>
    <row r="339" spans="11:15" ht="12.75">
      <c r="K339" s="8"/>
      <c r="L339" s="8"/>
      <c r="N339" s="8"/>
      <c r="O339" s="8"/>
    </row>
    <row r="340" spans="11:15" ht="12.75">
      <c r="K340" s="8"/>
      <c r="L340" s="8"/>
      <c r="N340" s="8"/>
      <c r="O340" s="8"/>
    </row>
    <row r="341" spans="11:15" ht="12.75">
      <c r="K341" s="8"/>
      <c r="L341" s="8"/>
      <c r="N341" s="8"/>
      <c r="O341" s="8"/>
    </row>
    <row r="342" spans="11:15" ht="12.75">
      <c r="K342" s="8"/>
      <c r="L342" s="8"/>
      <c r="N342" s="8"/>
      <c r="O342" s="8"/>
    </row>
    <row r="343" spans="11:15" ht="12.75">
      <c r="K343" s="8"/>
      <c r="L343" s="8"/>
      <c r="N343" s="8"/>
      <c r="O343" s="8"/>
    </row>
    <row r="344" spans="11:15" ht="12.75">
      <c r="K344" s="8"/>
      <c r="L344" s="8"/>
      <c r="N344" s="8"/>
      <c r="O344" s="8"/>
    </row>
    <row r="345" spans="11:15" ht="12.75">
      <c r="K345" s="8"/>
      <c r="L345" s="8"/>
      <c r="N345" s="8"/>
      <c r="O345" s="8"/>
    </row>
    <row r="346" spans="11:15" ht="12.75">
      <c r="K346" s="8"/>
      <c r="L346" s="8"/>
      <c r="N346" s="8"/>
      <c r="O346" s="8"/>
    </row>
    <row r="347" spans="11:15" ht="12.75">
      <c r="K347" s="8"/>
      <c r="L347" s="8"/>
      <c r="N347" s="8"/>
      <c r="O347" s="8"/>
    </row>
    <row r="348" spans="11:15" ht="12.75">
      <c r="K348" s="8"/>
      <c r="L348" s="8"/>
      <c r="N348" s="8"/>
      <c r="O348" s="8"/>
    </row>
    <row r="349" spans="11:15" ht="12.75">
      <c r="K349" s="8"/>
      <c r="L349" s="8"/>
      <c r="N349" s="8"/>
      <c r="O349" s="8"/>
    </row>
    <row r="350" spans="11:15" ht="12.75">
      <c r="K350" s="8"/>
      <c r="L350" s="8"/>
      <c r="N350" s="8"/>
      <c r="O350" s="8"/>
    </row>
    <row r="351" spans="11:15" ht="12.75">
      <c r="K351" s="8"/>
      <c r="L351" s="8"/>
      <c r="N351" s="8"/>
      <c r="O351" s="8"/>
    </row>
    <row r="352" spans="11:15" ht="12.75">
      <c r="K352" s="8"/>
      <c r="L352" s="8"/>
      <c r="N352" s="8"/>
      <c r="O352" s="8"/>
    </row>
    <row r="353" spans="11:15" ht="12.75">
      <c r="K353" s="8"/>
      <c r="L353" s="8"/>
      <c r="N353" s="8"/>
      <c r="O353" s="8"/>
    </row>
    <row r="354" spans="11:15" ht="12.75">
      <c r="K354" s="8"/>
      <c r="L354" s="8"/>
      <c r="N354" s="8"/>
      <c r="O354" s="8"/>
    </row>
    <row r="355" spans="11:15" ht="12.75">
      <c r="K355" s="8"/>
      <c r="L355" s="8"/>
      <c r="N355" s="8"/>
      <c r="O355" s="8"/>
    </row>
    <row r="356" spans="11:15" ht="12.75">
      <c r="K356" s="8"/>
      <c r="L356" s="8"/>
      <c r="N356" s="8"/>
      <c r="O356" s="8"/>
    </row>
    <row r="357" spans="11:15" ht="12.75">
      <c r="K357" s="8"/>
      <c r="L357" s="8"/>
      <c r="N357" s="8"/>
      <c r="O357" s="8"/>
    </row>
    <row r="358" spans="11:15" ht="12.75">
      <c r="K358" s="8"/>
      <c r="L358" s="8"/>
      <c r="N358" s="8"/>
      <c r="O358" s="8"/>
    </row>
    <row r="359" spans="11:15" ht="12.75">
      <c r="K359" s="8"/>
      <c r="L359" s="8"/>
      <c r="N359" s="8"/>
      <c r="O359" s="8"/>
    </row>
    <row r="360" spans="11:15" ht="12.75">
      <c r="K360" s="8"/>
      <c r="L360" s="8"/>
      <c r="N360" s="8"/>
      <c r="O360" s="8"/>
    </row>
    <row r="361" spans="11:15" ht="12.75">
      <c r="K361" s="8"/>
      <c r="L361" s="8"/>
      <c r="N361" s="8"/>
      <c r="O361" s="8"/>
    </row>
    <row r="362" spans="11:15" ht="12.75">
      <c r="K362" s="8"/>
      <c r="L362" s="8"/>
      <c r="N362" s="8"/>
      <c r="O362" s="8"/>
    </row>
    <row r="363" spans="11:12" ht="12.75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</sheetData>
  <mergeCells count="1">
    <mergeCell ref="B3:D3"/>
  </mergeCells>
  <conditionalFormatting sqref="B41:D42 P41:AC42 AM41:AR42">
    <cfRule type="cellIs" priority="1" dxfId="5" operator="equal" stopIfTrue="1">
      <formula>0</formula>
    </cfRule>
    <cfRule type="cellIs" priority="2" dxfId="0" operator="between" stopIfTrue="1">
      <formula>0</formula>
      <formula>#REF!</formula>
    </cfRule>
    <cfRule type="cellIs" priority="3" dxfId="11" operator="greaterThanOrEqual" stopIfTrue="1">
      <formula>#REF!</formula>
    </cfRule>
  </conditionalFormatting>
  <conditionalFormatting sqref="E41:F42">
    <cfRule type="cellIs" priority="4" dxfId="5" operator="equal" stopIfTrue="1">
      <formula>0</formula>
    </cfRule>
    <cfRule type="cellIs" priority="5" dxfId="11" operator="between" stopIfTrue="1">
      <formula>0</formula>
      <formula>#REF!</formula>
    </cfRule>
    <cfRule type="cellIs" priority="6" dxfId="0" operator="greaterThan" stopIfTrue="1">
      <formula>#REF!</formula>
    </cfRule>
  </conditionalFormatting>
  <conditionalFormatting sqref="G41:O42">
    <cfRule type="cellIs" priority="7" dxfId="11" operator="greaterThanOrEqual" stopIfTrue="1">
      <formula>#REF!</formula>
    </cfRule>
    <cfRule type="cellIs" priority="8" dxfId="1" operator="between" stopIfTrue="1">
      <formula>#REF!</formula>
      <formula>#REF!</formula>
    </cfRule>
    <cfRule type="cellIs" priority="9" dxfId="0" operator="between" stopIfTrue="1">
      <formula>#REF!</formula>
      <formula>0.1</formula>
    </cfRule>
  </conditionalFormatting>
  <conditionalFormatting sqref="AE8:AL8 AF9:AL38 B8:I40">
    <cfRule type="cellIs" priority="10" dxfId="5" operator="equal" stopIfTrue="1">
      <formula>0</formula>
    </cfRule>
    <cfRule type="cellIs" priority="11" dxfId="0" operator="between" stopIfTrue="1">
      <formula>0</formula>
      <formula>#REF!</formula>
    </cfRule>
    <cfRule type="cellIs" priority="12" dxfId="2" operator="greaterThanOrEqual" stopIfTrue="1">
      <formula>#REF!</formula>
    </cfRule>
  </conditionalFormatting>
  <conditionalFormatting sqref="K8:L40 N44 AM8:AQ10 O43 AQ39 AR8 N8:O40">
    <cfRule type="cellIs" priority="13" dxfId="2" operator="greaterThanOrEqual" stopIfTrue="1">
      <formula>#REF!</formula>
    </cfRule>
    <cfRule type="cellIs" priority="14" dxfId="1" operator="between" stopIfTrue="1">
      <formula>#REF!</formula>
      <formula>#REF!</formula>
    </cfRule>
    <cfRule type="cellIs" priority="15" dxfId="0" operator="between" stopIfTrue="1">
      <formula>#REF!</formula>
      <formula>0.1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L21" sqref="L21"/>
    </sheetView>
  </sheetViews>
  <sheetFormatPr defaultColWidth="9.140625" defaultRowHeight="12.75"/>
  <cols>
    <col min="1" max="1" width="15.421875" style="0" bestFit="1" customWidth="1"/>
  </cols>
  <sheetData>
    <row r="1" ht="12.75">
      <c r="A1" s="9" t="s">
        <v>173</v>
      </c>
    </row>
    <row r="2" spans="2:14" ht="12.75">
      <c r="B2" s="216">
        <v>39448</v>
      </c>
      <c r="C2" s="216">
        <v>39479</v>
      </c>
      <c r="D2" s="216">
        <v>39508</v>
      </c>
      <c r="E2" s="216">
        <v>39539</v>
      </c>
      <c r="F2" s="216">
        <v>39569</v>
      </c>
      <c r="G2" s="216">
        <v>39600</v>
      </c>
      <c r="H2" s="216">
        <v>39630</v>
      </c>
      <c r="I2" s="216">
        <v>39661</v>
      </c>
      <c r="J2" s="216">
        <v>39692</v>
      </c>
      <c r="K2" s="216">
        <v>39722</v>
      </c>
      <c r="L2" s="216">
        <v>39753</v>
      </c>
      <c r="M2" s="216">
        <v>39783</v>
      </c>
      <c r="N2" t="s">
        <v>172</v>
      </c>
    </row>
    <row r="3" spans="1:7" ht="12.75">
      <c r="A3" t="s">
        <v>176</v>
      </c>
      <c r="B3" s="217">
        <f>+Sheet1!D6</f>
        <v>5.681938973411145</v>
      </c>
      <c r="C3" s="217">
        <f>+Sheet1!G6</f>
        <v>5.625259597781948</v>
      </c>
      <c r="D3" s="217">
        <f>+Sheet1!L6</f>
        <v>5.486600740740741</v>
      </c>
      <c r="E3" s="217">
        <f>+Sheet1!P6</f>
        <v>6.847458823529412</v>
      </c>
      <c r="F3" s="217">
        <f>+Sheet1!T6</f>
        <v>6.602106474820144</v>
      </c>
      <c r="G3" s="217">
        <f>Sheet1!X6</f>
        <v>6.6972014492753615</v>
      </c>
    </row>
    <row r="4" spans="1:7" ht="12.75">
      <c r="A4" t="s">
        <v>177</v>
      </c>
      <c r="B4" s="217">
        <f>+Sheet1!D9</f>
        <v>10.303475055426322</v>
      </c>
      <c r="C4" s="217">
        <f>+Sheet1!G9</f>
        <v>8.951366756137666</v>
      </c>
      <c r="D4" s="217">
        <f>+Sheet1!L9</f>
        <v>9.432454545454545</v>
      </c>
      <c r="E4" s="217">
        <f>+Sheet1!P9</f>
        <v>11.463600000000001</v>
      </c>
      <c r="F4" s="217">
        <f>+Sheet1!T9</f>
        <v>10.777919999999998</v>
      </c>
      <c r="G4" s="217">
        <f>Sheet1!X9</f>
        <v>10.00195</v>
      </c>
    </row>
    <row r="5" spans="1:7" ht="12.75">
      <c r="A5" t="s">
        <v>179</v>
      </c>
      <c r="B5" s="217">
        <f>+Sheet1!D12</f>
        <v>20.55823946020777</v>
      </c>
      <c r="C5" s="217">
        <f>+Sheet1!G12</f>
        <v>19.646456589332505</v>
      </c>
      <c r="D5" s="217">
        <f>+Sheet1!L12</f>
        <v>22.308144186046512</v>
      </c>
      <c r="E5" s="217">
        <f>+Sheet1!P12</f>
        <v>21.677923404255317</v>
      </c>
      <c r="F5" s="217">
        <f>+Sheet1!T12</f>
        <v>20.222978723404257</v>
      </c>
      <c r="G5" s="217">
        <f>Sheet1!X12</f>
        <v>20.05246222222222</v>
      </c>
    </row>
    <row r="6" spans="1:7" ht="12.75">
      <c r="A6" t="s">
        <v>181</v>
      </c>
      <c r="B6" s="217">
        <f>+Sheet1!D15</f>
        <v>8.068870482051503</v>
      </c>
      <c r="C6" s="217">
        <f>+Sheet1!G15</f>
        <v>6.747130497858695</v>
      </c>
      <c r="D6" s="217">
        <f>+Sheet1!L15</f>
        <v>7.572587499999999</v>
      </c>
      <c r="E6" s="217">
        <f>+Sheet1!P15</f>
        <v>7.637074285714285</v>
      </c>
      <c r="F6" s="217">
        <f>+Sheet1!T15</f>
        <v>7.2483506849315065</v>
      </c>
      <c r="G6" s="217">
        <f>Sheet1!X15</f>
        <v>6.42868918918919</v>
      </c>
    </row>
    <row r="7" spans="1:7" ht="12.75">
      <c r="A7" t="s">
        <v>185</v>
      </c>
      <c r="B7" s="217">
        <f>Sheet1!D18</f>
        <v>5.656333579072861</v>
      </c>
      <c r="C7" s="219">
        <f>Sheet1!G18</f>
        <v>5.291668986895546</v>
      </c>
      <c r="D7" s="219">
        <f>Sheet1!L18</f>
        <v>5.630630208333333</v>
      </c>
      <c r="E7" s="217">
        <f>Sheet1!P18</f>
        <v>5.924198019801981</v>
      </c>
      <c r="F7" s="217">
        <f>Sheet1!T18</f>
        <v>5.540412631578947</v>
      </c>
      <c r="G7" s="217">
        <f>Sheet1!X18</f>
        <v>5.103516</v>
      </c>
    </row>
    <row r="8" spans="1:7" ht="12.75">
      <c r="A8" t="s">
        <v>186</v>
      </c>
      <c r="B8" s="217">
        <f>Sheet1!D21</f>
        <v>1.5772809752448793</v>
      </c>
      <c r="C8" s="217">
        <f>Sheet1!G21</f>
        <v>1.5073266497021036</v>
      </c>
      <c r="D8" s="217">
        <f>Sheet1!L21</f>
        <v>1.589825</v>
      </c>
      <c r="E8" s="217">
        <f>Sheet1!P21</f>
        <v>1.710494117647059</v>
      </c>
      <c r="F8" s="217">
        <f>Sheet1!T21</f>
        <v>1.5695999999999999</v>
      </c>
      <c r="G8" s="217">
        <f>Sheet1!X21</f>
        <v>1.27756</v>
      </c>
    </row>
    <row r="9" spans="1:7" ht="12.75">
      <c r="A9" t="s">
        <v>187</v>
      </c>
      <c r="B9" s="217">
        <f>Sheet1!D24</f>
        <v>7.7139313601991795</v>
      </c>
      <c r="C9" s="217">
        <f>Sheet1!G24</f>
        <v>8.190899046940093</v>
      </c>
      <c r="D9" s="217">
        <f>Sheet1!L24</f>
        <v>8.665011111111111</v>
      </c>
      <c r="E9" s="217">
        <f>Sheet1!P24</f>
        <v>9.384275862068966</v>
      </c>
      <c r="F9" s="217">
        <f>Sheet1!T24</f>
        <v>7.313548387096774</v>
      </c>
      <c r="G9" s="217">
        <f>Sheet1!X24</f>
        <v>7.32285625</v>
      </c>
    </row>
    <row r="10" spans="1:7" ht="12.75">
      <c r="A10" t="s">
        <v>197</v>
      </c>
      <c r="B10" s="217">
        <f>Sheet1!D33</f>
        <v>6.036138211125299</v>
      </c>
      <c r="C10" s="217">
        <f>Sheet1!G33</f>
        <v>6.152990032653226</v>
      </c>
      <c r="D10" s="217">
        <f>Sheet1!L33</f>
        <v>5.552082352941177</v>
      </c>
      <c r="E10" s="217">
        <f>Sheet1!P33</f>
        <v>7.629973333333333</v>
      </c>
      <c r="F10" s="217">
        <f>Sheet1!T33</f>
        <v>6.0604</v>
      </c>
      <c r="G10" s="217">
        <f>Sheet1!X33</f>
        <v>5.6103375</v>
      </c>
    </row>
    <row r="11" spans="1:7" ht="12.75">
      <c r="A11" t="s">
        <v>188</v>
      </c>
      <c r="B11" s="217">
        <f>Sheet1!D36</f>
        <v>7.814988290398127</v>
      </c>
      <c r="C11" s="217">
        <f>Sheet1!G36</f>
        <v>7.399071925754059</v>
      </c>
      <c r="D11" s="217">
        <f>Sheet1!L36</f>
        <v>7.820093457943925</v>
      </c>
      <c r="E11" s="217">
        <f>Sheet1!P36</f>
        <v>8.570114942528734</v>
      </c>
      <c r="F11" s="217">
        <f>Sheet1!T36</f>
        <v>7.981693363844394</v>
      </c>
      <c r="G11" s="217">
        <f>Sheet1!X36</f>
        <v>7.555811685393258</v>
      </c>
    </row>
    <row r="13" ht="12.75">
      <c r="A13" s="9" t="s">
        <v>174</v>
      </c>
    </row>
    <row r="14" spans="2:14" ht="12.75">
      <c r="B14" s="216">
        <v>39448</v>
      </c>
      <c r="C14" s="216">
        <v>39479</v>
      </c>
      <c r="D14" s="216">
        <v>39508</v>
      </c>
      <c r="E14" s="216">
        <v>39539</v>
      </c>
      <c r="F14" s="216">
        <v>39569</v>
      </c>
      <c r="G14" s="216">
        <v>39600</v>
      </c>
      <c r="H14" s="216">
        <v>39630</v>
      </c>
      <c r="I14" s="216">
        <v>39661</v>
      </c>
      <c r="J14" s="216">
        <v>39692</v>
      </c>
      <c r="K14" s="216">
        <v>39722</v>
      </c>
      <c r="L14" s="216">
        <v>39753</v>
      </c>
      <c r="M14" s="216">
        <v>39783</v>
      </c>
      <c r="N14" t="s">
        <v>172</v>
      </c>
    </row>
    <row r="15" spans="1:8" ht="12.75">
      <c r="A15" t="s">
        <v>175</v>
      </c>
      <c r="B15" s="217">
        <f>+Sheet1!E6</f>
        <v>5.726431492375329</v>
      </c>
      <c r="C15" s="217">
        <f>+Sheet1!I6</f>
        <v>5.311867396967474</v>
      </c>
      <c r="D15" s="217">
        <f>+Sheet1!N6</f>
        <v>5.541295233763629</v>
      </c>
      <c r="E15" s="217">
        <f>+Sheet1!R6</f>
        <v>6.508852910727803</v>
      </c>
      <c r="F15" s="217">
        <f>+Sheet1!V6</f>
        <v>5.9907459795026625</v>
      </c>
      <c r="G15" s="217">
        <f>Sheet1!Y6</f>
        <v>6.2003661005050725</v>
      </c>
      <c r="H15" s="217">
        <f>Sheet1!AZ6</f>
        <v>6.820564613829723</v>
      </c>
    </row>
    <row r="16" spans="1:8" ht="12.75">
      <c r="A16" t="s">
        <v>178</v>
      </c>
      <c r="B16" s="217">
        <f>+Sheet1!E9</f>
        <v>9.951483399352423</v>
      </c>
      <c r="C16" s="217">
        <f>+Sheet1!I9</f>
        <v>9.364830639229258</v>
      </c>
      <c r="D16" s="217">
        <f>+Sheet1!N9</f>
        <v>9.420408269135661</v>
      </c>
      <c r="E16" s="217">
        <f>+Sheet1!R9</f>
        <v>10.65546671150022</v>
      </c>
      <c r="F16" s="217">
        <f>+Sheet1!V9</f>
        <v>9.580965866643055</v>
      </c>
      <c r="G16" s="217">
        <f>Sheet1!Y9</f>
        <v>9.760049340785915</v>
      </c>
      <c r="H16" s="217">
        <f>Sheet1!AZ9</f>
        <v>10.822199601219435</v>
      </c>
    </row>
    <row r="17" spans="1:8" ht="12.75">
      <c r="A17" t="s">
        <v>180</v>
      </c>
      <c r="B17" s="217">
        <f>+Sheet1!E12</f>
        <v>19.42426978222586</v>
      </c>
      <c r="C17" s="217">
        <f>+Sheet1!I12</f>
        <v>18.279184067480927</v>
      </c>
      <c r="D17" s="217">
        <f>+Sheet1!N12</f>
        <v>18.38766587203571</v>
      </c>
      <c r="E17" s="217">
        <f>+Sheet1!R12</f>
        <v>20.355854073112972</v>
      </c>
      <c r="F17" s="217">
        <f>+Sheet1!V12</f>
        <v>18.30316290607637</v>
      </c>
      <c r="G17" s="217">
        <f>Sheet1!Y12</f>
        <v>18.64527810058247</v>
      </c>
      <c r="H17" s="217">
        <f>Sheet1!AZ12</f>
        <v>20.674375116273826</v>
      </c>
    </row>
    <row r="18" spans="1:8" ht="12.75">
      <c r="A18" t="s">
        <v>182</v>
      </c>
      <c r="B18" s="217">
        <f>+Sheet1!E15</f>
        <v>11</v>
      </c>
      <c r="C18" s="217">
        <f>+Sheet1!I15</f>
        <v>6.507454628809378</v>
      </c>
      <c r="D18" s="217">
        <f>+Sheet1!N15</f>
        <v>6.4551568356747815</v>
      </c>
      <c r="E18" s="217">
        <f>+Sheet1!R15</f>
        <v>7.301457305773081</v>
      </c>
      <c r="F18" s="217">
        <f>+Sheet1!V15</f>
        <v>6.565175896787561</v>
      </c>
      <c r="G18" s="217">
        <f>Sheet1!Y15</f>
        <v>6.687889464951814</v>
      </c>
      <c r="H18" s="217">
        <f>Sheet1!AZ15</f>
        <v>7.520154458943907</v>
      </c>
    </row>
    <row r="19" spans="1:8" ht="12.75">
      <c r="A19" t="s">
        <v>189</v>
      </c>
      <c r="B19" s="217">
        <f>Sheet1!E18</f>
        <v>5.773502910404418</v>
      </c>
      <c r="C19" s="217">
        <f>Sheet1!I18</f>
        <v>5.37210087886079</v>
      </c>
      <c r="D19" s="217">
        <f>Sheet1!N18</f>
        <v>5.343938530039858</v>
      </c>
      <c r="E19" s="217">
        <f>Sheet1!R18</f>
        <v>6.112469545977113</v>
      </c>
      <c r="F19" s="217">
        <f>Sheet1!V18</f>
        <v>5.622432868380185</v>
      </c>
      <c r="G19" s="217">
        <f>Sheet1!Y18</f>
        <v>5.932079538367745</v>
      </c>
      <c r="H19" s="217">
        <f>Sheet1!AZ18</f>
        <v>6.738076317645047</v>
      </c>
    </row>
    <row r="20" spans="1:8" ht="12.75">
      <c r="A20" t="s">
        <v>190</v>
      </c>
      <c r="B20" s="217">
        <f>Sheet1!E21</f>
        <v>1.1079252640017971</v>
      </c>
      <c r="C20" s="217">
        <f>Sheet1!I21</f>
        <v>1.0426116431019083</v>
      </c>
      <c r="D20" s="217">
        <f>Sheet1!N21</f>
        <v>1.048799249292424</v>
      </c>
      <c r="E20" s="217">
        <f>Sheet1!R21</f>
        <v>1.134723278252026</v>
      </c>
      <c r="F20" s="217">
        <f>Sheet1!V21</f>
        <v>1.0202974014535025</v>
      </c>
      <c r="G20" s="217">
        <f>Sheet1!Y21</f>
        <v>0.9562189104463292</v>
      </c>
      <c r="H20" s="217">
        <f>Sheet1!AZ21</f>
        <v>0.9817413854952088</v>
      </c>
    </row>
    <row r="21" spans="1:8" ht="12.75">
      <c r="A21" t="s">
        <v>191</v>
      </c>
      <c r="B21" s="217">
        <f>Sheet1!E24</f>
        <v>7.450404786910983</v>
      </c>
      <c r="C21" s="217">
        <f>Sheet1!I24</f>
        <v>6.785026288481283</v>
      </c>
      <c r="D21" s="217">
        <f>Sheet1!N24</f>
        <v>6.612003084722719</v>
      </c>
      <c r="E21" s="217">
        <f>Sheet1!R24</f>
        <v>7.478866812644413</v>
      </c>
      <c r="F21" s="217">
        <f>Sheet1!V24</f>
        <v>6.724695369352539</v>
      </c>
      <c r="G21" s="217">
        <f>Sheet1!Y24</f>
        <v>6.850390609901185</v>
      </c>
      <c r="H21" s="217">
        <f>Sheet1!AZ24</f>
        <v>7.840922235782029</v>
      </c>
    </row>
    <row r="22" spans="1:8" ht="12.75">
      <c r="A22" t="s">
        <v>198</v>
      </c>
      <c r="B22" s="217">
        <f>Sheet1!E33</f>
        <v>5.486992107587114</v>
      </c>
      <c r="C22" s="217">
        <f>Sheet1!I33</f>
        <v>5.163526857682816</v>
      </c>
      <c r="D22" s="217">
        <f>Sheet1!N33</f>
        <v>5.19417093398954</v>
      </c>
      <c r="E22" s="217">
        <f>Sheet1!R33</f>
        <v>5.875150407472272</v>
      </c>
      <c r="F22" s="217">
        <f>Sheet1!V33</f>
        <v>5.282698265542295</v>
      </c>
      <c r="G22" s="217">
        <f>Sheet1!Y33</f>
        <v>5.381440289197291</v>
      </c>
      <c r="H22" s="217">
        <f>Sheet1!AZ33</f>
        <v>6.340025301166968</v>
      </c>
    </row>
    <row r="23" spans="1:8" ht="12.75">
      <c r="A23" t="s">
        <v>192</v>
      </c>
      <c r="B23" s="217">
        <f>Sheet1!E36</f>
        <v>7.512820512820513</v>
      </c>
      <c r="C23" s="217">
        <f>Sheet1!I36</f>
        <v>6.956422018348623</v>
      </c>
      <c r="D23" s="217">
        <f>Sheet1!N36</f>
        <v>7.02995391705069</v>
      </c>
      <c r="E23" s="217">
        <f>Sheet1!R36</f>
        <v>8.025581395348835</v>
      </c>
      <c r="F23" s="217">
        <f>Sheet1!V36</f>
        <v>7.301176470588235</v>
      </c>
      <c r="G23" s="217">
        <f>Sheet1!Y36</f>
        <v>7.490521327014217</v>
      </c>
      <c r="H23" s="217">
        <f>Sheet1!AZ36</f>
        <v>8.345238095238095</v>
      </c>
    </row>
    <row r="25" ht="12.75">
      <c r="A25" t="s">
        <v>183</v>
      </c>
    </row>
    <row r="26" spans="2:14" ht="12.75">
      <c r="B26" s="216">
        <v>39448</v>
      </c>
      <c r="C26" s="216">
        <v>39479</v>
      </c>
      <c r="D26" s="216">
        <v>39508</v>
      </c>
      <c r="E26" s="216">
        <v>39539</v>
      </c>
      <c r="F26" s="216">
        <v>39569</v>
      </c>
      <c r="G26" s="216">
        <v>39600</v>
      </c>
      <c r="H26" s="216">
        <v>39630</v>
      </c>
      <c r="I26" s="216">
        <v>39661</v>
      </c>
      <c r="J26" s="216">
        <v>39692</v>
      </c>
      <c r="K26" s="216">
        <v>39722</v>
      </c>
      <c r="L26" s="216">
        <v>39753</v>
      </c>
      <c r="M26" s="216">
        <v>39783</v>
      </c>
      <c r="N26" t="s">
        <v>172</v>
      </c>
    </row>
    <row r="27" spans="1:6" ht="12.75">
      <c r="A27" t="s">
        <v>184</v>
      </c>
      <c r="B27" s="218"/>
      <c r="C27" s="217"/>
      <c r="D27" s="217"/>
      <c r="E27" s="217"/>
      <c r="F27" s="217"/>
    </row>
    <row r="28" spans="1:6" ht="12.75">
      <c r="A28" t="s">
        <v>178</v>
      </c>
      <c r="B28" s="217"/>
      <c r="C28" s="217"/>
      <c r="D28" s="217"/>
      <c r="E28" s="217"/>
      <c r="F28" s="217"/>
    </row>
    <row r="29" spans="1:6" ht="12.75">
      <c r="A29" t="s">
        <v>180</v>
      </c>
      <c r="B29" s="217"/>
      <c r="C29" s="217"/>
      <c r="D29" s="217"/>
      <c r="E29" s="217"/>
      <c r="F29" s="217"/>
    </row>
    <row r="30" spans="1:6" ht="12.75">
      <c r="A30" t="s">
        <v>182</v>
      </c>
      <c r="B30" s="217"/>
      <c r="C30" s="217"/>
      <c r="D30" s="217"/>
      <c r="E30" s="217"/>
      <c r="F30" s="217"/>
    </row>
    <row r="31" ht="12.75">
      <c r="A31" t="s">
        <v>91</v>
      </c>
    </row>
    <row r="32" ht="12.75">
      <c r="A32" t="s">
        <v>92</v>
      </c>
    </row>
    <row r="33" ht="12.75">
      <c r="A33" t="s">
        <v>171</v>
      </c>
    </row>
    <row r="34" ht="12.75">
      <c r="A34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Alcoa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millemf</dc:creator>
  <cp:keywords/>
  <dc:description/>
  <cp:lastModifiedBy>clappbl</cp:lastModifiedBy>
  <cp:lastPrinted>2008-07-15T18:51:18Z</cp:lastPrinted>
  <dcterms:created xsi:type="dcterms:W3CDTF">2008-02-26T16:50:46Z</dcterms:created>
  <dcterms:modified xsi:type="dcterms:W3CDTF">2008-07-24T20:49:51Z</dcterms:modified>
  <cp:category/>
  <cp:version/>
  <cp:contentType/>
  <cp:contentStatus/>
</cp:coreProperties>
</file>